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585" windowWidth="10665" windowHeight="5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'Sheet1'!$A$9:$K$19</definedName>
  </definedNames>
  <calcPr fullCalcOnLoad="1"/>
</workbook>
</file>

<file path=xl/sharedStrings.xml><?xml version="1.0" encoding="utf-8"?>
<sst xmlns="http://schemas.openxmlformats.org/spreadsheetml/2006/main" count="68" uniqueCount="59">
  <si>
    <t>Oxygen Fill</t>
  </si>
  <si>
    <t>Helium Fill</t>
  </si>
  <si>
    <t>meters</t>
  </si>
  <si>
    <t>Oxygen</t>
  </si>
  <si>
    <t>Helium</t>
  </si>
  <si>
    <t>END</t>
  </si>
  <si>
    <t>ppO2</t>
  </si>
  <si>
    <t>Tank Volume=</t>
  </si>
  <si>
    <t>Helium Cost =</t>
  </si>
  <si>
    <t>Tank Rental</t>
  </si>
  <si>
    <t>TOTAL  ==&gt;</t>
  </si>
  <si>
    <t>He +O2</t>
  </si>
  <si>
    <t>Liters.</t>
  </si>
  <si>
    <t>Fill</t>
  </si>
  <si>
    <t>ppN2</t>
  </si>
  <si>
    <t>ppHe</t>
  </si>
  <si>
    <t>Costings</t>
  </si>
  <si>
    <t>TOTALS...</t>
  </si>
  <si>
    <t>Depth Used</t>
  </si>
  <si>
    <t>feet</t>
  </si>
  <si>
    <t>Hypoxic Ceiling=</t>
  </si>
  <si>
    <t>1.4bar Floor=</t>
  </si>
  <si>
    <t>1.6bar Floor=</t>
  </si>
  <si>
    <t>%O2</t>
  </si>
  <si>
    <t>%He</t>
  </si>
  <si>
    <t>%N2</t>
  </si>
  <si>
    <t>Ideal Nitrox gas</t>
  </si>
  <si>
    <t>END=</t>
  </si>
  <si>
    <t>Ideal Trimix gas</t>
  </si>
  <si>
    <t>Trimix_END=</t>
  </si>
  <si>
    <t>Ideal Gas Choice Calculator</t>
  </si>
  <si>
    <t>Note:- Only enter data in the yellow coloured cells</t>
  </si>
  <si>
    <t>Final Pressure</t>
  </si>
  <si>
    <t>Add Bank Nitrox</t>
  </si>
  <si>
    <t>Bank Nitrox</t>
  </si>
  <si>
    <t>Old Tank Pressure</t>
  </si>
  <si>
    <t>Desired Nitrox%</t>
  </si>
  <si>
    <t>Old Nitrox%</t>
  </si>
  <si>
    <t xml:space="preserve">Nitrox Tank Adjuster </t>
  </si>
  <si>
    <t>Note:- (1) Only enter data in the yellow coloured cells. (2) If 'Add Bank Nitrox' is negative, then drop 'Old tank pressure' until zero, then top up with only air</t>
  </si>
  <si>
    <t>Minimum nitrox bank pressure required=</t>
  </si>
  <si>
    <t>&lt;&lt;&lt; Imperial ft/psi</t>
  </si>
  <si>
    <t>Liters</t>
  </si>
  <si>
    <t>www.ScubaEngineer.com</t>
  </si>
  <si>
    <t>eg $US, GBP, EURO</t>
  </si>
  <si>
    <t>Currency symbol=</t>
  </si>
  <si>
    <t>Tank Rental =</t>
  </si>
  <si>
    <t>Oxygen Cost =</t>
  </si>
  <si>
    <t>"by adding 'Bank-Nitrox' then topping up with Air"</t>
  </si>
  <si>
    <t>Available Gas =</t>
  </si>
  <si>
    <t>Breathing Gas Analyser-Blender-Coster</t>
  </si>
  <si>
    <t>Depth=</t>
  </si>
  <si>
    <t>ppO2=</t>
  </si>
  <si>
    <t>THB</t>
  </si>
  <si>
    <t>Air</t>
  </si>
  <si>
    <t>Air Cost=</t>
  </si>
  <si>
    <t>Gas Used(L)</t>
  </si>
  <si>
    <t xml:space="preserve"> </t>
  </si>
  <si>
    <t>Gas Blending Utilities for the partial pressure blender "Metric V1.02" JAN 2014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</si>
</sst>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t&quot;$&quot;#,##0_);\(\t&quot;$&quot;#,##0\)"/>
    <numFmt numFmtId="179" formatCode="\t&quot;$&quot;#,##0_);[Red]\(\t&quot;$&quot;#,##0\)"/>
    <numFmt numFmtId="180" formatCode="\t&quot;$&quot;#,##0.00_);\(\t&quot;$&quot;#,##0.00\)"/>
    <numFmt numFmtId="181" formatCode="\t&quot;$&quot;#,##0.00_);[Red]\(\t&quot;$&quot;#,##0.00\)"/>
    <numFmt numFmtId="182" formatCode="&quot;฿&quot;#,##0;\-&quot;฿&quot;#,##0"/>
    <numFmt numFmtId="183" formatCode="&quot;฿&quot;#,##0;[Red]\-&quot;฿&quot;#,##0"/>
    <numFmt numFmtId="184" formatCode="&quot;฿&quot;#,##0.00;\-&quot;฿&quot;#,##0.00"/>
    <numFmt numFmtId="185" formatCode="&quot;฿&quot;#,##0.00;[Red]\-&quot;฿&quot;#,##0.00"/>
    <numFmt numFmtId="186" formatCode="_-&quot;฿&quot;* #,##0_-;\-&quot;฿&quot;* #,##0_-;_-&quot;฿&quot;* &quot;-&quot;_-;_-@_-"/>
    <numFmt numFmtId="187" formatCode="_-&quot;฿&quot;* #,##0.00_-;\-&quot;฿&quot;* #,##0.00_-;_-&quot;฿&quot;* &quot;-&quot;??_-;_-@_-"/>
    <numFmt numFmtId="188" formatCode="\t&quot;฿&quot;#,##0_);\(\t&quot;฿&quot;#,##0\)"/>
    <numFmt numFmtId="189" formatCode="\t&quot;฿&quot;#,##0_);[Red]\(\t&quot;฿&quot;#,##0\)"/>
    <numFmt numFmtId="190" formatCode="\t&quot;฿&quot;#,##0.00_);\(\t&quot;฿&quot;#,##0.00\)"/>
    <numFmt numFmtId="191" formatCode="\t&quot;฿&quot;#,##0.00_);[Red]\(\t&quot;฿&quot;#,##0.00\)"/>
    <numFmt numFmtId="192" formatCode="0.00&quot;psi&quot;"/>
    <numFmt numFmtId="193" formatCode="0.00&quot;cuft&quot;"/>
    <numFmt numFmtId="194" formatCode="0.00&quot;bars&quot;"/>
    <numFmt numFmtId="195" formatCode="0.0"/>
    <numFmt numFmtId="196" formatCode="0.0&quot;psi&quot;"/>
    <numFmt numFmtId="197" formatCode="0.0&quot;bars&quot;"/>
    <numFmt numFmtId="198" formatCode="0.00&quot;/cuft&quot;"/>
    <numFmt numFmtId="199" formatCode="0.00&quot;Baht/cuft&quot;"/>
    <numFmt numFmtId="200" formatCode="0.00&quot;m&quot;"/>
    <numFmt numFmtId="201" formatCode="[$฿-41E]#,##0.00"/>
    <numFmt numFmtId="202" formatCode="0.00&quot;ft&quot;"/>
    <numFmt numFmtId="203" formatCode="0.00000000000"/>
    <numFmt numFmtId="204" formatCode="0&quot;psi&quot;"/>
    <numFmt numFmtId="205" formatCode="&quot;=&quot;0&quot;psi&quot;"/>
    <numFmt numFmtId="206" formatCode="&quot;=&quot;0.0&quot;bars&quot;"/>
    <numFmt numFmtId="207" formatCode="0&quot;ft&quot;"/>
    <numFmt numFmtId="208" formatCode="0.00&quot;%&quot;"/>
    <numFmt numFmtId="209" formatCode="0.000000000000"/>
    <numFmt numFmtId="210" formatCode="0.00&quot;bars / &quot;"/>
    <numFmt numFmtId="211" formatCode="0.00&quot;bars   / &quot;"/>
    <numFmt numFmtId="212" formatCode="0.0&quot;m&quot;"/>
  </numFmts>
  <fonts count="58">
    <font>
      <sz val="14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b/>
      <i/>
      <sz val="12"/>
      <name val="Cordia New"/>
      <family val="0"/>
    </font>
    <font>
      <sz val="10"/>
      <name val="Cordia New"/>
      <family val="0"/>
    </font>
    <font>
      <b/>
      <u val="single"/>
      <sz val="11"/>
      <name val="Cordia New"/>
      <family val="2"/>
    </font>
    <font>
      <b/>
      <sz val="11"/>
      <name val="Cordia New"/>
      <family val="2"/>
    </font>
    <font>
      <sz val="11"/>
      <name val="Cordia New"/>
      <family val="2"/>
    </font>
    <font>
      <b/>
      <sz val="8"/>
      <name val="Cordia New"/>
      <family val="2"/>
    </font>
    <font>
      <sz val="8"/>
      <name val="Cordia New"/>
      <family val="2"/>
    </font>
    <font>
      <i/>
      <sz val="12"/>
      <name val="Cordia New"/>
      <family val="2"/>
    </font>
    <font>
      <b/>
      <u val="single"/>
      <sz val="26"/>
      <name val="Cordia New"/>
      <family val="2"/>
    </font>
    <font>
      <b/>
      <sz val="10"/>
      <name val="Cordia New"/>
      <family val="2"/>
    </font>
    <font>
      <b/>
      <i/>
      <u val="single"/>
      <sz val="8"/>
      <color indexed="10"/>
      <name val="Cordia New"/>
      <family val="2"/>
    </font>
    <font>
      <u val="single"/>
      <sz val="21"/>
      <color indexed="12"/>
      <name val="Cordia New"/>
      <family val="0"/>
    </font>
    <font>
      <u val="single"/>
      <sz val="21"/>
      <color indexed="36"/>
      <name val="Cordia New"/>
      <family val="0"/>
    </font>
    <font>
      <i/>
      <sz val="14"/>
      <name val="Cordia New"/>
      <family val="2"/>
    </font>
    <font>
      <sz val="14"/>
      <color indexed="12"/>
      <name val="Cordia New"/>
      <family val="0"/>
    </font>
    <font>
      <sz val="21"/>
      <name val="Cordia New"/>
      <family val="0"/>
    </font>
    <font>
      <b/>
      <u val="single"/>
      <sz val="26"/>
      <color indexed="12"/>
      <name val="Cordia New"/>
      <family val="2"/>
    </font>
    <font>
      <b/>
      <u val="single"/>
      <sz val="21"/>
      <name val="Cordia New"/>
      <family val="2"/>
    </font>
    <font>
      <b/>
      <u val="single"/>
      <sz val="12"/>
      <name val="Cordia Ne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/>
    </xf>
    <xf numFmtId="19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right"/>
    </xf>
    <xf numFmtId="193" fontId="9" fillId="0" borderId="0" xfId="0" applyNumberFormat="1" applyFont="1" applyFill="1" applyBorder="1" applyAlignment="1">
      <alignment horizontal="right"/>
    </xf>
    <xf numFmtId="201" fontId="3" fillId="0" borderId="0" xfId="0" applyNumberFormat="1" applyFont="1" applyFill="1" applyBorder="1" applyAlignment="1">
      <alignment horizontal="right"/>
    </xf>
    <xf numFmtId="201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93" fontId="8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197" fontId="7" fillId="0" borderId="11" xfId="0" applyNumberFormat="1" applyFont="1" applyFill="1" applyBorder="1" applyAlignment="1">
      <alignment horizontal="center"/>
    </xf>
    <xf numFmtId="206" fontId="7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 horizontal="right"/>
    </xf>
    <xf numFmtId="0" fontId="12" fillId="34" borderId="11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right"/>
    </xf>
    <xf numFmtId="0" fontId="12" fillId="35" borderId="11" xfId="0" applyFont="1" applyFill="1" applyBorder="1" applyAlignment="1">
      <alignment horizontal="left"/>
    </xf>
    <xf numFmtId="2" fontId="12" fillId="36" borderId="11" xfId="0" applyNumberFormat="1" applyFont="1" applyFill="1" applyBorder="1" applyAlignment="1">
      <alignment horizontal="right"/>
    </xf>
    <xf numFmtId="0" fontId="12" fillId="36" borderId="11" xfId="0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0" fontId="12" fillId="34" borderId="11" xfId="0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0" fontId="12" fillId="35" borderId="11" xfId="0" applyFont="1" applyFill="1" applyBorder="1" applyAlignment="1">
      <alignment/>
    </xf>
    <xf numFmtId="2" fontId="12" fillId="36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right"/>
    </xf>
    <xf numFmtId="0" fontId="2" fillId="37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92" fontId="9" fillId="38" borderId="11" xfId="0" applyNumberFormat="1" applyFont="1" applyFill="1" applyBorder="1" applyAlignment="1" applyProtection="1">
      <alignment horizontal="center"/>
      <protection/>
    </xf>
    <xf numFmtId="194" fontId="0" fillId="0" borderId="0" xfId="0" applyNumberForma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194" fontId="9" fillId="0" borderId="0" xfId="0" applyNumberFormat="1" applyFont="1" applyFill="1" applyBorder="1" applyAlignment="1" applyProtection="1">
      <alignment horizontal="center"/>
      <protection/>
    </xf>
    <xf numFmtId="192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9" fillId="0" borderId="11" xfId="0" applyFont="1" applyFill="1" applyBorder="1" applyAlignment="1" applyProtection="1">
      <alignment horizontal="right"/>
      <protection/>
    </xf>
    <xf numFmtId="211" fontId="9" fillId="34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4" fillId="0" borderId="0" xfId="53" applyFont="1" applyAlignment="1" applyProtection="1">
      <alignment/>
      <protection/>
    </xf>
    <xf numFmtId="0" fontId="17" fillId="0" borderId="0" xfId="0" applyFont="1" applyAlignment="1">
      <alignment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53" applyFont="1" applyAlignment="1" applyProtection="1">
      <alignment/>
      <protection/>
    </xf>
    <xf numFmtId="0" fontId="19" fillId="0" borderId="0" xfId="53" applyFont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200" fontId="12" fillId="39" borderId="14" xfId="0" applyNumberFormat="1" applyFont="1" applyFill="1" applyBorder="1" applyAlignment="1">
      <alignment horizontal="right"/>
    </xf>
    <xf numFmtId="194" fontId="12" fillId="39" borderId="14" xfId="0" applyNumberFormat="1" applyFont="1" applyFill="1" applyBorder="1" applyAlignment="1">
      <alignment horizontal="right"/>
    </xf>
    <xf numFmtId="212" fontId="7" fillId="0" borderId="11" xfId="0" applyNumberFormat="1" applyFont="1" applyFill="1" applyBorder="1" applyAlignment="1">
      <alignment horizontal="center"/>
    </xf>
    <xf numFmtId="194" fontId="7" fillId="0" borderId="11" xfId="0" applyNumberFormat="1" applyFont="1" applyFill="1" applyBorder="1" applyAlignment="1">
      <alignment horizontal="center"/>
    </xf>
    <xf numFmtId="194" fontId="7" fillId="0" borderId="11" xfId="0" applyNumberFormat="1" applyFont="1" applyBorder="1" applyAlignment="1">
      <alignment horizontal="center"/>
    </xf>
    <xf numFmtId="204" fontId="7" fillId="38" borderId="11" xfId="0" applyNumberFormat="1" applyFont="1" applyFill="1" applyBorder="1" applyAlignment="1">
      <alignment horizontal="center"/>
    </xf>
    <xf numFmtId="200" fontId="7" fillId="33" borderId="11" xfId="0" applyNumberFormat="1" applyFont="1" applyFill="1" applyBorder="1" applyAlignment="1" applyProtection="1">
      <alignment horizontal="center"/>
      <protection locked="0"/>
    </xf>
    <xf numFmtId="200" fontId="7" fillId="33" borderId="15" xfId="0" applyNumberFormat="1" applyFont="1" applyFill="1" applyBorder="1" applyAlignment="1" applyProtection="1">
      <alignment horizontal="center"/>
      <protection locked="0"/>
    </xf>
    <xf numFmtId="0" fontId="21" fillId="33" borderId="16" xfId="0" applyFont="1" applyFill="1" applyBorder="1" applyAlignment="1">
      <alignment horizontal="center"/>
    </xf>
    <xf numFmtId="0" fontId="22" fillId="0" borderId="15" xfId="0" applyFont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22" fillId="0" borderId="17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194" fontId="9" fillId="39" borderId="18" xfId="0" applyNumberFormat="1" applyFont="1" applyFill="1" applyBorder="1" applyAlignment="1" applyProtection="1">
      <alignment horizontal="center" vertical="center"/>
      <protection locked="0"/>
    </xf>
    <xf numFmtId="208" fontId="9" fillId="39" borderId="19" xfId="0" applyNumberFormat="1" applyFont="1" applyFill="1" applyBorder="1" applyAlignment="1" applyProtection="1">
      <alignment horizontal="center" vertical="center"/>
      <protection locked="0"/>
    </xf>
    <xf numFmtId="208" fontId="9" fillId="39" borderId="20" xfId="0" applyNumberFormat="1" applyFont="1" applyFill="1" applyBorder="1" applyAlignment="1">
      <alignment horizontal="center"/>
    </xf>
    <xf numFmtId="194" fontId="9" fillId="34" borderId="20" xfId="0" applyNumberFormat="1" applyFont="1" applyFill="1" applyBorder="1" applyAlignment="1">
      <alignment horizontal="center"/>
    </xf>
    <xf numFmtId="194" fontId="9" fillId="39" borderId="21" xfId="0" applyNumberFormat="1" applyFont="1" applyFill="1" applyBorder="1" applyAlignment="1" applyProtection="1">
      <alignment horizontal="center" vertical="center"/>
      <protection locked="0"/>
    </xf>
    <xf numFmtId="192" fontId="9" fillId="38" borderId="22" xfId="0" applyNumberFormat="1" applyFont="1" applyFill="1" applyBorder="1" applyAlignment="1" applyProtection="1">
      <alignment horizontal="center" vertical="center"/>
      <protection locked="0"/>
    </xf>
    <xf numFmtId="208" fontId="9" fillId="38" borderId="22" xfId="0" applyNumberFormat="1" applyFont="1" applyFill="1" applyBorder="1" applyAlignment="1" applyProtection="1">
      <alignment horizontal="center" vertical="center"/>
      <protection locked="0"/>
    </xf>
    <xf numFmtId="208" fontId="9" fillId="38" borderId="22" xfId="0" applyNumberFormat="1" applyFont="1" applyFill="1" applyBorder="1" applyAlignment="1">
      <alignment horizontal="center"/>
    </xf>
    <xf numFmtId="192" fontId="9" fillId="38" borderId="22" xfId="0" applyNumberFormat="1" applyFont="1" applyFill="1" applyBorder="1" applyAlignment="1">
      <alignment horizontal="center"/>
    </xf>
    <xf numFmtId="0" fontId="21" fillId="38" borderId="23" xfId="0" applyFont="1" applyFill="1" applyBorder="1" applyAlignment="1">
      <alignment horizontal="center"/>
    </xf>
    <xf numFmtId="202" fontId="10" fillId="38" borderId="24" xfId="0" applyNumberFormat="1" applyFont="1" applyFill="1" applyBorder="1" applyAlignment="1">
      <alignment horizontal="center"/>
    </xf>
    <xf numFmtId="205" fontId="7" fillId="38" borderId="15" xfId="0" applyNumberFormat="1" applyFont="1" applyFill="1" applyBorder="1" applyAlignment="1">
      <alignment horizontal="center"/>
    </xf>
    <xf numFmtId="207" fontId="7" fillId="38" borderId="15" xfId="0" applyNumberFormat="1" applyFont="1" applyFill="1" applyBorder="1" applyAlignment="1">
      <alignment horizontal="center"/>
    </xf>
    <xf numFmtId="2" fontId="5" fillId="38" borderId="25" xfId="0" applyNumberFormat="1" applyFont="1" applyFill="1" applyBorder="1" applyAlignment="1">
      <alignment horizontal="left"/>
    </xf>
    <xf numFmtId="0" fontId="7" fillId="38" borderId="26" xfId="0" applyFont="1" applyFill="1" applyBorder="1" applyAlignment="1">
      <alignment/>
    </xf>
    <xf numFmtId="201" fontId="3" fillId="0" borderId="27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01" fontId="3" fillId="0" borderId="12" xfId="0" applyNumberFormat="1" applyFont="1" applyFill="1" applyBorder="1" applyAlignment="1">
      <alignment horizontal="right"/>
    </xf>
    <xf numFmtId="201" fontId="1" fillId="0" borderId="28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4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97" fontId="7" fillId="0" borderId="33" xfId="0" applyNumberFormat="1" applyFont="1" applyFill="1" applyBorder="1" applyAlignment="1">
      <alignment horizontal="center"/>
    </xf>
    <xf numFmtId="192" fontId="7" fillId="38" borderId="16" xfId="0" applyNumberFormat="1" applyFont="1" applyFill="1" applyBorder="1" applyAlignment="1" applyProtection="1">
      <alignment horizontal="center"/>
      <protection locked="0"/>
    </xf>
    <xf numFmtId="207" fontId="7" fillId="38" borderId="16" xfId="0" applyNumberFormat="1" applyFont="1" applyFill="1" applyBorder="1" applyAlignment="1" applyProtection="1">
      <alignment horizontal="center"/>
      <protection locked="0"/>
    </xf>
    <xf numFmtId="208" fontId="6" fillId="39" borderId="34" xfId="0" applyNumberFormat="1" applyFont="1" applyFill="1" applyBorder="1" applyAlignment="1" applyProtection="1">
      <alignment horizontal="center"/>
      <protection locked="0"/>
    </xf>
    <xf numFmtId="208" fontId="6" fillId="39" borderId="35" xfId="0" applyNumberFormat="1" applyFont="1" applyFill="1" applyBorder="1" applyAlignment="1" applyProtection="1">
      <alignment horizontal="center"/>
      <protection locked="0"/>
    </xf>
    <xf numFmtId="194" fontId="6" fillId="39" borderId="35" xfId="0" applyNumberFormat="1" applyFont="1" applyFill="1" applyBorder="1" applyAlignment="1" applyProtection="1">
      <alignment horizontal="center"/>
      <protection locked="0"/>
    </xf>
    <xf numFmtId="200" fontId="6" fillId="39" borderId="36" xfId="0" applyNumberFormat="1" applyFont="1" applyFill="1" applyBorder="1" applyAlignment="1" applyProtection="1">
      <alignment horizontal="center"/>
      <protection locked="0"/>
    </xf>
    <xf numFmtId="0" fontId="2" fillId="39" borderId="37" xfId="0" applyFont="1" applyFill="1" applyBorder="1" applyAlignment="1" applyProtection="1">
      <alignment/>
      <protection locked="0"/>
    </xf>
    <xf numFmtId="0" fontId="2" fillId="39" borderId="38" xfId="0" applyFont="1" applyFill="1" applyBorder="1" applyAlignment="1" applyProtection="1">
      <alignment/>
      <protection locked="0"/>
    </xf>
    <xf numFmtId="0" fontId="2" fillId="39" borderId="39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5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ont>
        <b/>
        <i/>
        <color indexed="51"/>
      </font>
      <fill>
        <patternFill patternType="none">
          <bgColor indexed="65"/>
        </patternFill>
      </fill>
    </dxf>
    <dxf>
      <font>
        <b/>
        <i/>
        <color indexed="51"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b/>
        <i/>
        <color rgb="FFFFCC00"/>
      </font>
      <border/>
    </dxf>
    <dxf>
      <font>
        <b/>
        <i/>
        <color rgb="FFFFCC00"/>
      </font>
      <fill>
        <patternFill patternType="none">
          <bgColor indexed="65"/>
        </patternFill>
      </fill>
      <border/>
    </dxf>
    <dxf>
      <font>
        <b/>
        <i/>
        <color rgb="FFFF0000"/>
      </font>
      <fill>
        <patternFill patternType="none">
          <bgColor indexed="65"/>
        </patternFill>
      </fill>
      <border/>
    </dxf>
    <dxf>
      <font>
        <b/>
        <i/>
        <color rgb="FFFF99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9525</xdr:rowOff>
    </xdr:from>
    <xdr:to>
      <xdr:col>8</xdr:col>
      <xdr:colOff>9525</xdr:colOff>
      <xdr:row>13</xdr:row>
      <xdr:rowOff>9525</xdr:rowOff>
    </xdr:to>
    <xdr:sp>
      <xdr:nvSpPr>
        <xdr:cNvPr id="1" name="Rectangle 12"/>
        <xdr:cNvSpPr>
          <a:spLocks/>
        </xdr:cNvSpPr>
      </xdr:nvSpPr>
      <xdr:spPr>
        <a:xfrm>
          <a:off x="1333500" y="3914775"/>
          <a:ext cx="3762375" cy="2857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2" name="Rectangle 31"/>
        <xdr:cNvSpPr>
          <a:spLocks/>
        </xdr:cNvSpPr>
      </xdr:nvSpPr>
      <xdr:spPr>
        <a:xfrm>
          <a:off x="857250" y="1552575"/>
          <a:ext cx="476250" cy="2762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4</xdr:col>
      <xdr:colOff>9525</xdr:colOff>
      <xdr:row>5</xdr:row>
      <xdr:rowOff>0</xdr:rowOff>
    </xdr:to>
    <xdr:sp>
      <xdr:nvSpPr>
        <xdr:cNvPr id="3" name="Rectangle 32"/>
        <xdr:cNvSpPr>
          <a:spLocks/>
        </xdr:cNvSpPr>
      </xdr:nvSpPr>
      <xdr:spPr>
        <a:xfrm>
          <a:off x="1933575" y="1552575"/>
          <a:ext cx="695325" cy="2762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6</xdr:col>
      <xdr:colOff>9525</xdr:colOff>
      <xdr:row>5</xdr:row>
      <xdr:rowOff>0</xdr:rowOff>
    </xdr:to>
    <xdr:sp>
      <xdr:nvSpPr>
        <xdr:cNvPr id="4" name="Rectangle 33"/>
        <xdr:cNvSpPr>
          <a:spLocks/>
        </xdr:cNvSpPr>
      </xdr:nvSpPr>
      <xdr:spPr>
        <a:xfrm>
          <a:off x="3286125" y="1552575"/>
          <a:ext cx="628650" cy="2762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hyperlink" Target="http://www.scubaengine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50" zoomScaleNormal="150" zoomScalePageLayoutView="0" workbookViewId="0" topLeftCell="A4">
      <selection activeCell="B17" sqref="B17"/>
    </sheetView>
  </sheetViews>
  <sheetFormatPr defaultColWidth="9.140625" defaultRowHeight="21.75"/>
  <cols>
    <col min="1" max="1" width="12.57421875" style="0" customWidth="1"/>
    <col min="2" max="2" width="7.421875" style="0" customWidth="1"/>
    <col min="3" max="3" width="8.7109375" style="0" customWidth="1"/>
    <col min="4" max="4" width="10.57421875" style="0" customWidth="1"/>
    <col min="5" max="5" width="9.7109375" style="0" customWidth="1"/>
    <col min="6" max="6" width="9.57421875" style="0" customWidth="1"/>
    <col min="7" max="7" width="8.28125" style="0" customWidth="1"/>
    <col min="8" max="8" width="9.421875" style="0" customWidth="1"/>
    <col min="9" max="9" width="9.28125" style="0" customWidth="1"/>
    <col min="10" max="10" width="7.140625" style="0" customWidth="1"/>
    <col min="11" max="11" width="9.140625" style="0" customWidth="1"/>
  </cols>
  <sheetData>
    <row r="1" spans="1:8" s="64" customFormat="1" ht="38.25">
      <c r="A1" s="73" t="s">
        <v>43</v>
      </c>
      <c r="B1" s="73"/>
      <c r="C1" s="73"/>
      <c r="D1" s="73"/>
      <c r="E1"/>
      <c r="F1"/>
      <c r="G1"/>
      <c r="H1"/>
    </row>
    <row r="2" spans="1:8" s="64" customFormat="1" ht="32.25">
      <c r="A2" s="74" t="s">
        <v>58</v>
      </c>
      <c r="B2" s="72"/>
      <c r="C2" s="72"/>
      <c r="D2" s="72"/>
      <c r="E2" s="63"/>
      <c r="F2" s="63"/>
      <c r="G2" s="63"/>
      <c r="H2" s="63"/>
    </row>
    <row r="3" spans="1:11" ht="38.25">
      <c r="A3" s="28" t="s">
        <v>30</v>
      </c>
      <c r="B3" s="25"/>
      <c r="C3" s="25"/>
      <c r="D3" s="25"/>
      <c r="E3" s="7"/>
      <c r="F3" s="25"/>
      <c r="G3" s="25"/>
      <c r="H3" s="1"/>
      <c r="I3" s="1"/>
      <c r="J3" s="1"/>
      <c r="K3" s="1"/>
    </row>
    <row r="4" spans="1:5" s="48" customFormat="1" ht="13.5" thickBot="1">
      <c r="A4" s="47" t="s">
        <v>31</v>
      </c>
      <c r="E4" s="49"/>
    </row>
    <row r="5" spans="1:11" ht="21.75">
      <c r="A5" s="26" t="s">
        <v>51</v>
      </c>
      <c r="B5" s="78">
        <v>100</v>
      </c>
      <c r="C5" s="26" t="s">
        <v>52</v>
      </c>
      <c r="D5" s="79">
        <v>1.4</v>
      </c>
      <c r="E5" s="26" t="s">
        <v>29</v>
      </c>
      <c r="F5" s="78">
        <v>40</v>
      </c>
      <c r="G5" s="27"/>
      <c r="H5" s="1"/>
      <c r="I5" s="1"/>
      <c r="J5" s="1"/>
      <c r="K5" s="1"/>
    </row>
    <row r="6" spans="1:11" ht="21.75">
      <c r="A6" s="32" t="s">
        <v>26</v>
      </c>
      <c r="B6" s="33">
        <f>(D5/((B5/10)+1))*100</f>
        <v>12.727272727272727</v>
      </c>
      <c r="C6" s="34" t="s">
        <v>23</v>
      </c>
      <c r="D6" s="35">
        <v>0</v>
      </c>
      <c r="E6" s="36" t="s">
        <v>24</v>
      </c>
      <c r="F6" s="37">
        <f>100-B6</f>
        <v>87.27272727272728</v>
      </c>
      <c r="G6" s="38" t="s">
        <v>25</v>
      </c>
      <c r="H6" s="45" t="s">
        <v>27</v>
      </c>
      <c r="I6" s="39">
        <f>((((F6/100)*((B5/10)+1))/0.79)-1)*10</f>
        <v>111.51898734177216</v>
      </c>
      <c r="J6" s="46" t="s">
        <v>2</v>
      </c>
      <c r="K6" s="1"/>
    </row>
    <row r="7" spans="1:11" ht="21.75">
      <c r="A7" s="32" t="s">
        <v>28</v>
      </c>
      <c r="B7" s="40">
        <f>(D5/((B5/10)+1))*100</f>
        <v>12.727272727272727</v>
      </c>
      <c r="C7" s="41" t="s">
        <v>23</v>
      </c>
      <c r="D7" s="42">
        <f>100-B7-F7</f>
        <v>51.36363636363637</v>
      </c>
      <c r="E7" s="43" t="s">
        <v>24</v>
      </c>
      <c r="F7" s="44">
        <f>(((((F5/10)+1)*0.79))/((B5/10)+1))*100</f>
        <v>35.909090909090914</v>
      </c>
      <c r="G7" s="38" t="s">
        <v>25</v>
      </c>
      <c r="H7" s="45" t="s">
        <v>27</v>
      </c>
      <c r="I7" s="39">
        <f>((((F7/100)*((B5/10)+1))/0.79)-1)*10</f>
        <v>40</v>
      </c>
      <c r="J7" s="46" t="s">
        <v>2</v>
      </c>
      <c r="K7" s="1"/>
    </row>
    <row r="8" spans="1:11" s="71" customFormat="1" ht="21.75">
      <c r="A8" s="65"/>
      <c r="B8" s="66"/>
      <c r="C8" s="67"/>
      <c r="D8" s="66"/>
      <c r="E8" s="67"/>
      <c r="F8" s="66"/>
      <c r="G8" s="67"/>
      <c r="H8" s="68"/>
      <c r="I8" s="69"/>
      <c r="J8" s="70"/>
      <c r="K8" s="2"/>
    </row>
    <row r="9" spans="1:11" ht="38.25">
      <c r="A9" s="24" t="s">
        <v>50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="25" customFormat="1" ht="15">
      <c r="A10" s="47" t="s">
        <v>31</v>
      </c>
    </row>
    <row r="11" spans="1:11" ht="22.5" thickBot="1">
      <c r="A11" s="8" t="s">
        <v>3</v>
      </c>
      <c r="B11" s="8" t="s">
        <v>4</v>
      </c>
      <c r="C11" s="8" t="s">
        <v>13</v>
      </c>
      <c r="D11" s="8" t="s">
        <v>18</v>
      </c>
      <c r="E11" s="29" t="s">
        <v>0</v>
      </c>
      <c r="F11" s="29" t="s">
        <v>1</v>
      </c>
      <c r="G11" s="29" t="s">
        <v>11</v>
      </c>
      <c r="H11" s="29" t="s">
        <v>5</v>
      </c>
      <c r="I11" s="29" t="s">
        <v>6</v>
      </c>
      <c r="J11" s="29" t="s">
        <v>14</v>
      </c>
      <c r="K11" s="29" t="s">
        <v>15</v>
      </c>
    </row>
    <row r="12" spans="1:11" ht="22.5" thickBot="1">
      <c r="A12" s="122">
        <v>17</v>
      </c>
      <c r="B12" s="123">
        <v>38</v>
      </c>
      <c r="C12" s="124">
        <v>207</v>
      </c>
      <c r="D12" s="125">
        <v>21</v>
      </c>
      <c r="E12" s="119">
        <f>(((A12*C12)/100)-(0.21*C12)+(0.21*F12))/0.79</f>
        <v>10.428607594936706</v>
      </c>
      <c r="F12" s="30">
        <f>C12*B12/100</f>
        <v>78.66</v>
      </c>
      <c r="G12" s="31">
        <f>E12+F12</f>
        <v>89.0886075949367</v>
      </c>
      <c r="H12" s="80">
        <f>((((((C12-F12-E12)*0.79)/C12)*((D12/10)+1))/0.79)-1)*10</f>
        <v>7.658227848101264</v>
      </c>
      <c r="I12" s="81">
        <f>((D12/10)+1)*(A12/100)</f>
        <v>0.527</v>
      </c>
      <c r="J12" s="82">
        <f>((D12/10)+1)*(100-A12-B12)/100</f>
        <v>1.395</v>
      </c>
      <c r="K12" s="82">
        <f>((D12/10)+1)*B12/100</f>
        <v>1.178</v>
      </c>
    </row>
    <row r="13" spans="1:11" ht="22.5" thickBot="1">
      <c r="A13" s="9" t="s">
        <v>16</v>
      </c>
      <c r="B13" s="10"/>
      <c r="C13" s="120">
        <f>C12*14.5</f>
        <v>3001.5</v>
      </c>
      <c r="D13" s="121">
        <f>D12*3.281</f>
        <v>68.901</v>
      </c>
      <c r="E13" s="83">
        <f>E12*14.5</f>
        <v>151.21481012658222</v>
      </c>
      <c r="F13" s="83">
        <f>F12*14.5</f>
        <v>1140.57</v>
      </c>
      <c r="G13" s="102">
        <f>E13+F13</f>
        <v>1291.7848101265822</v>
      </c>
      <c r="H13" s="103">
        <f>H12*3.28084</f>
        <v>25.125420253164553</v>
      </c>
      <c r="I13" s="104" t="s">
        <v>41</v>
      </c>
      <c r="J13" s="105"/>
      <c r="K13" s="11"/>
    </row>
    <row r="14" spans="1:11" ht="22.5" thickBot="1">
      <c r="A14" s="6" t="s">
        <v>46</v>
      </c>
      <c r="B14" s="126">
        <v>0</v>
      </c>
      <c r="C14" s="5" t="str">
        <f>$B$19</f>
        <v>THB</v>
      </c>
      <c r="D14" s="3"/>
      <c r="E14" s="86" t="s">
        <v>2</v>
      </c>
      <c r="F14" s="100" t="s">
        <v>19</v>
      </c>
      <c r="G14" s="109" t="s">
        <v>17</v>
      </c>
      <c r="H14" s="110" t="s">
        <v>9</v>
      </c>
      <c r="I14" s="111">
        <f>B14</f>
        <v>0</v>
      </c>
      <c r="J14" s="115" t="str">
        <f>$B$19</f>
        <v>THB</v>
      </c>
      <c r="K14" s="1" t="s">
        <v>56</v>
      </c>
    </row>
    <row r="15" spans="1:15" ht="22.5" thickBot="1">
      <c r="A15" s="6" t="s">
        <v>47</v>
      </c>
      <c r="B15" s="127">
        <v>0.56</v>
      </c>
      <c r="C15" s="5" t="str">
        <f>$B$19&amp;" / liter"</f>
        <v>THB / liter</v>
      </c>
      <c r="D15" s="22" t="s">
        <v>20</v>
      </c>
      <c r="E15" s="84">
        <f>((0.18/(A12/100))-1)*10</f>
        <v>0.588235294117645</v>
      </c>
      <c r="F15" s="101">
        <f>E15*3.28084</f>
        <v>1.9299058823529343</v>
      </c>
      <c r="G15" s="106"/>
      <c r="H15" s="17" t="s">
        <v>54</v>
      </c>
      <c r="I15" s="18">
        <f>(C12-E12-F12)*B17*B18</f>
        <v>87.16010126582279</v>
      </c>
      <c r="J15" s="116" t="str">
        <f>$B$19</f>
        <v>THB</v>
      </c>
      <c r="K15" s="118">
        <f>B18*(C12-E12-F12)</f>
        <v>1320.607594936709</v>
      </c>
      <c r="L15" s="12"/>
      <c r="M15" s="21"/>
      <c r="N15" s="129" t="s">
        <v>57</v>
      </c>
      <c r="O15" s="13"/>
    </row>
    <row r="16" spans="1:15" ht="22.5" thickBot="1">
      <c r="A16" s="6" t="s">
        <v>8</v>
      </c>
      <c r="B16" s="127">
        <v>2.5</v>
      </c>
      <c r="C16" s="5" t="str">
        <f>$B$19&amp;" / liter"</f>
        <v>THB / liter</v>
      </c>
      <c r="D16" s="23" t="s">
        <v>21</v>
      </c>
      <c r="E16" s="84">
        <f>((1.4/(A12/100))-1)*10</f>
        <v>72.35294117647058</v>
      </c>
      <c r="F16" s="101">
        <f>E16*3.28084</f>
        <v>237.37842352941175</v>
      </c>
      <c r="G16" s="107"/>
      <c r="H16" s="108" t="s">
        <v>3</v>
      </c>
      <c r="I16" s="18">
        <f>E12*B15*B18</f>
        <v>65.40822683544302</v>
      </c>
      <c r="J16" s="116" t="str">
        <f>$B$19</f>
        <v>THB</v>
      </c>
      <c r="K16" s="118">
        <f>B18*E12</f>
        <v>116.8004050632911</v>
      </c>
      <c r="L16" s="14"/>
      <c r="M16" s="21"/>
      <c r="N16" s="13"/>
      <c r="O16" s="13"/>
    </row>
    <row r="17" spans="1:15" ht="22.5" thickBot="1">
      <c r="A17" s="6" t="s">
        <v>55</v>
      </c>
      <c r="B17" s="127">
        <v>0.066</v>
      </c>
      <c r="C17" s="5" t="str">
        <f>$B$19&amp;" / liter"</f>
        <v>THB / liter</v>
      </c>
      <c r="D17" s="61" t="s">
        <v>22</v>
      </c>
      <c r="E17" s="85">
        <f>((1.6/(A12/100))-1)*10</f>
        <v>84.11764705882354</v>
      </c>
      <c r="F17" s="101">
        <f>E17*3.28084</f>
        <v>275.9765411764706</v>
      </c>
      <c r="G17" s="107"/>
      <c r="H17" s="108" t="s">
        <v>4</v>
      </c>
      <c r="I17" s="18">
        <f>B18*B16*F12</f>
        <v>2202.48</v>
      </c>
      <c r="J17" s="116" t="str">
        <f>$B$19</f>
        <v>THB</v>
      </c>
      <c r="K17" s="118">
        <f>B18*F12</f>
        <v>880.992</v>
      </c>
      <c r="L17" s="15"/>
      <c r="M17" s="21"/>
      <c r="N17" s="13"/>
      <c r="O17" s="13"/>
    </row>
    <row r="18" spans="1:15" ht="22.5" thickBot="1">
      <c r="A18" s="6" t="s">
        <v>7</v>
      </c>
      <c r="B18" s="127">
        <v>11.2</v>
      </c>
      <c r="C18" s="5" t="s">
        <v>12</v>
      </c>
      <c r="D18" s="62"/>
      <c r="E18" s="62"/>
      <c r="F18" s="4"/>
      <c r="G18" s="112"/>
      <c r="H18" s="113" t="s">
        <v>10</v>
      </c>
      <c r="I18" s="114">
        <f>SUM(I14:I17)</f>
        <v>2355.0483281012657</v>
      </c>
      <c r="J18" s="117" t="str">
        <f>$B$19</f>
        <v>THB</v>
      </c>
      <c r="K18" s="20"/>
      <c r="L18" s="16"/>
      <c r="M18" s="17"/>
      <c r="N18" s="18"/>
      <c r="O18" s="19"/>
    </row>
    <row r="19" spans="1:15" s="71" customFormat="1" ht="22.5" thickBot="1">
      <c r="A19" s="6" t="s">
        <v>45</v>
      </c>
      <c r="B19" s="128" t="s">
        <v>53</v>
      </c>
      <c r="C19" s="5" t="s">
        <v>44</v>
      </c>
      <c r="D19" s="70"/>
      <c r="E19" s="70"/>
      <c r="F19" s="75"/>
      <c r="G19" s="75"/>
      <c r="H19" s="76" t="s">
        <v>49</v>
      </c>
      <c r="I19" s="77">
        <f>B18*C12</f>
        <v>2318.3999999999996</v>
      </c>
      <c r="J19" s="75" t="s">
        <v>42</v>
      </c>
      <c r="K19" s="70"/>
      <c r="L19" s="16"/>
      <c r="M19" s="17"/>
      <c r="N19" s="18"/>
      <c r="O19" s="19"/>
    </row>
    <row r="20" ht="38.25">
      <c r="A20" s="52" t="s">
        <v>38</v>
      </c>
    </row>
    <row r="21" spans="1:10" ht="21.75">
      <c r="A21" s="53" t="s">
        <v>48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21.75">
      <c r="A22" s="47" t="s">
        <v>39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8" s="90" customFormat="1" ht="14.25" thickBot="1">
      <c r="A23" s="87" t="s">
        <v>35</v>
      </c>
      <c r="B23" s="87" t="s">
        <v>37</v>
      </c>
      <c r="C23" s="88" t="s">
        <v>34</v>
      </c>
      <c r="D23" s="88" t="s">
        <v>33</v>
      </c>
      <c r="E23" s="87" t="s">
        <v>32</v>
      </c>
      <c r="F23" s="89" t="s">
        <v>36</v>
      </c>
      <c r="G23" s="48"/>
      <c r="H23" s="48"/>
    </row>
    <row r="24" spans="1:6" s="90" customFormat="1" ht="14.25" thickBot="1" thickTop="1">
      <c r="A24" s="91">
        <v>80</v>
      </c>
      <c r="B24" s="92">
        <v>50</v>
      </c>
      <c r="C24" s="93">
        <v>100</v>
      </c>
      <c r="D24" s="94">
        <f>((E24*((F24/100)-0.21))-(A24*((B24/100)-0.21)))/((C24/100)-0.21)</f>
        <v>-0.544303797468354</v>
      </c>
      <c r="E24" s="95">
        <v>207</v>
      </c>
      <c r="F24" s="92">
        <v>32</v>
      </c>
    </row>
    <row r="25" spans="1:6" s="90" customFormat="1" ht="13.5" thickTop="1">
      <c r="A25" s="96">
        <f>A24*14.5</f>
        <v>1160</v>
      </c>
      <c r="B25" s="97">
        <f>B24</f>
        <v>50</v>
      </c>
      <c r="C25" s="98">
        <f>C24</f>
        <v>100</v>
      </c>
      <c r="D25" s="99">
        <f>D24*14.5</f>
        <v>-7.892405063291133</v>
      </c>
      <c r="E25" s="99">
        <f>E24*14.5</f>
        <v>3001.5</v>
      </c>
      <c r="F25" s="98">
        <f>F24</f>
        <v>32</v>
      </c>
    </row>
    <row r="26" spans="1:6" ht="21.75">
      <c r="A26" s="54"/>
      <c r="B26" s="55"/>
      <c r="C26" s="54"/>
      <c r="D26" s="55"/>
      <c r="E26" s="54"/>
      <c r="F26" s="55"/>
    </row>
    <row r="27" spans="1:6" ht="21.75">
      <c r="A27" s="58"/>
      <c r="B27" s="59" t="s">
        <v>40</v>
      </c>
      <c r="C27" s="60">
        <f>A24+D24</f>
        <v>79.45569620253164</v>
      </c>
      <c r="D27" s="50">
        <f>C27*14.5</f>
        <v>1152.107594936709</v>
      </c>
      <c r="E27" s="54"/>
      <c r="F27" s="56"/>
    </row>
    <row r="28" spans="2:3" ht="21.75">
      <c r="B28" s="57"/>
      <c r="C28" s="51"/>
    </row>
  </sheetData>
  <sheetProtection/>
  <conditionalFormatting sqref="H12">
    <cfRule type="cellIs" priority="1" dxfId="7" operator="greaterThan" stopIfTrue="1">
      <formula>50</formula>
    </cfRule>
  </conditionalFormatting>
  <conditionalFormatting sqref="K12">
    <cfRule type="cellIs" priority="2" dxfId="8" operator="greaterThan" stopIfTrue="1">
      <formula>10</formula>
    </cfRule>
  </conditionalFormatting>
  <conditionalFormatting sqref="J12">
    <cfRule type="cellIs" priority="3" dxfId="9" operator="greaterThan" stopIfTrue="1">
      <formula>4</formula>
    </cfRule>
    <cfRule type="cellIs" priority="4" dxfId="10" operator="greaterThan" stopIfTrue="1">
      <formula>5.5</formula>
    </cfRule>
  </conditionalFormatting>
  <conditionalFormatting sqref="I12">
    <cfRule type="cellIs" priority="5" dxfId="10" operator="greaterThan" stopIfTrue="1">
      <formula>1.61</formula>
    </cfRule>
    <cfRule type="cellIs" priority="6" dxfId="11" operator="greaterThan" stopIfTrue="1">
      <formula>1.41</formula>
    </cfRule>
  </conditionalFormatting>
  <conditionalFormatting sqref="I6:I8">
    <cfRule type="cellIs" priority="7" dxfId="12" operator="greaterThan" stopIfTrue="1">
      <formula>60</formula>
    </cfRule>
  </conditionalFormatting>
  <hyperlinks>
    <hyperlink ref="A1" r:id="rId1" display="www.ScubaEngineer.com"/>
    <hyperlink ref="A1:D1" r:id="rId2" display="www.ScubaEngineer.com"/>
  </hyperlinks>
  <printOptions/>
  <pageMargins left="0.75" right="0.75" top="1" bottom="1" header="0.5" footer="0.5"/>
  <pageSetup horizontalDpi="360" verticalDpi="36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E Burton</dc:creator>
  <cp:keywords/>
  <dc:description/>
  <cp:lastModifiedBy>Stephen Burton</cp:lastModifiedBy>
  <cp:lastPrinted>2014-02-02T10:12:20Z</cp:lastPrinted>
  <dcterms:created xsi:type="dcterms:W3CDTF">2002-02-07T12:20:10Z</dcterms:created>
  <dcterms:modified xsi:type="dcterms:W3CDTF">2015-12-12T17:38:45Z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