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00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<sst xmlns="http://schemas.openxmlformats.org/spreadsheetml/2006/main" count="213" uniqueCount="157">
  <si>
    <t>Fill Pressure=</t>
  </si>
  <si>
    <t>Return pressure=</t>
  </si>
  <si>
    <t>Tank Size=</t>
  </si>
  <si>
    <t>Liters</t>
  </si>
  <si>
    <t>bars</t>
  </si>
  <si>
    <t>Bottle Filling volume=</t>
  </si>
  <si>
    <t>Mass of molecular Sieve=</t>
  </si>
  <si>
    <t>Compressor Pumping rate=</t>
  </si>
  <si>
    <t>Liters/min</t>
  </si>
  <si>
    <t>hours</t>
  </si>
  <si>
    <t>Temp(degrees C)</t>
  </si>
  <si>
    <t>Coltrisub Filter Model</t>
  </si>
  <si>
    <t>New filter(gram)</t>
  </si>
  <si>
    <t>Used Filter(gram)</t>
  </si>
  <si>
    <t>Molecular Sieve Cost(kg)</t>
  </si>
  <si>
    <t>Activated Carbon Cost(kg)</t>
  </si>
  <si>
    <t>not known</t>
  </si>
  <si>
    <t>Moisture Content of Air at 100%RH versus temperature at sea level</t>
  </si>
  <si>
    <t>Moisture Content(gram/m^3)</t>
  </si>
  <si>
    <t>Bauer Filter Pn#/housing Pn#</t>
  </si>
  <si>
    <t>US$</t>
  </si>
  <si>
    <t>Mass of Activated Carbon=</t>
  </si>
  <si>
    <t>Max MS Process Volume=</t>
  </si>
  <si>
    <t>Max AC Process Volume=</t>
  </si>
  <si>
    <t>Liters/minute</t>
  </si>
  <si>
    <t>Mass of Hopcalite=</t>
  </si>
  <si>
    <t>Oil Content in Compressed Air at 100 degrees 'C'</t>
  </si>
  <si>
    <t>Mineral Oil=</t>
  </si>
  <si>
    <t>mg/m^3</t>
  </si>
  <si>
    <t>Synthetic Oil=</t>
  </si>
  <si>
    <t>Oil Content in compressed air=</t>
  </si>
  <si>
    <t>Water absorbancy of  MS=</t>
  </si>
  <si>
    <t>% MS Mass</t>
  </si>
  <si>
    <t>Oil Abosrbancy of AC</t>
  </si>
  <si>
    <t>(L/min)/g</t>
  </si>
  <si>
    <t>Activated Carbon Lifetime=</t>
  </si>
  <si>
    <t>Molecular Sieve Lifetime=</t>
  </si>
  <si>
    <t>Ambient Temperature=</t>
  </si>
  <si>
    <t>Moisture Content at Ambient =</t>
  </si>
  <si>
    <t>degrees 'C'</t>
  </si>
  <si>
    <t>Filter Tower temp rise=</t>
  </si>
  <si>
    <t>Moisture Content in filter tower=</t>
  </si>
  <si>
    <t>degrees 'K'</t>
  </si>
  <si>
    <t>Typical MS Absorbancy Rate =20% of MS mass</t>
  </si>
  <si>
    <t>Typical AC Oil absorbancy rate =7.5% of AC mass</t>
  </si>
  <si>
    <t>Filter Tower Temperature=</t>
  </si>
  <si>
    <t>Standard HP Air Hopcalite conversion rate = (5L/min)/g of hopcalite, for 20ppm max CO input air contamination</t>
  </si>
  <si>
    <t>From the Goff-Gratch Equation</t>
  </si>
  <si>
    <t>The desired final fill pressure of customer tanks</t>
  </si>
  <si>
    <t>The pressure remaining in tank on return to the filling facility</t>
  </si>
  <si>
    <t>The Water Capacity W.C. of divers cyslinder - sometimes called floodable volume</t>
  </si>
  <si>
    <t>The calculated air fill required to top up this tank</t>
  </si>
  <si>
    <t>Molecular sieve(g)</t>
  </si>
  <si>
    <t>Activated Carbon(g)</t>
  </si>
  <si>
    <t>Hopcalite(g)</t>
  </si>
  <si>
    <t>Hopcalite(kg)</t>
  </si>
  <si>
    <t>The maximum number of cylinders that can be filled before the MS or AC is used up</t>
  </si>
  <si>
    <t>The maximum time the filter can be used before the MS is exhausted</t>
  </si>
  <si>
    <t>The maximum time the filter can be used before the AC is exhausted</t>
  </si>
  <si>
    <t>The filtration cost per cylinder filled</t>
  </si>
  <si>
    <t>Filter Media Weights</t>
  </si>
  <si>
    <t>(L/min)</t>
  </si>
  <si>
    <t>Flow Rate</t>
  </si>
  <si>
    <t>FILTRATION SYSTEM  USEABLE LIFE</t>
  </si>
  <si>
    <t>TANKS THAT CAN BE FILLED=</t>
  </si>
  <si>
    <t>FILTRATION COST PER TANK=</t>
  </si>
  <si>
    <t>OVERAL FILTER LIFETIME=</t>
  </si>
  <si>
    <t>HOURS</t>
  </si>
  <si>
    <t>CYLINDERS</t>
  </si>
  <si>
    <t>Cost to REPLACE</t>
  </si>
  <si>
    <t>Cost to REFILL</t>
  </si>
  <si>
    <t>Compressed Air Referrence Data</t>
  </si>
  <si>
    <t>Cost Replace/Refill Filter=</t>
  </si>
  <si>
    <t>approx weight</t>
  </si>
  <si>
    <t>Filter Cartridge Data</t>
  </si>
  <si>
    <t>Only enter data in yellow blocks</t>
  </si>
  <si>
    <t>www.scubaegineer.com</t>
  </si>
  <si>
    <t>degrees 'C' above ambient(typical 10-14)</t>
  </si>
  <si>
    <t>g/m^3,  100%RH, 1bar</t>
  </si>
  <si>
    <t xml:space="preserve">m^3 @ 1bar </t>
  </si>
  <si>
    <t>mg/m^3 @ 1bar</t>
  </si>
  <si>
    <t>% AC Mass</t>
  </si>
  <si>
    <t>Lifetime(hrs)</t>
  </si>
  <si>
    <t>200bars</t>
  </si>
  <si>
    <t>300bars</t>
  </si>
  <si>
    <t>P21 #57679 /MS/AC/MS/  # 077159-EU-V001</t>
  </si>
  <si>
    <t>P21 #59183 /MS/AC/HP/  # 077159-EU-V001</t>
  </si>
  <si>
    <t>P31 #80114 /MS/AC/HP/  # 79873-EU</t>
  </si>
  <si>
    <t>P41 #67224 /MS/AC/HP/  # 61685-EU</t>
  </si>
  <si>
    <t>P31 #80100 /MS/AC/       # 79873-EU</t>
  </si>
  <si>
    <t>P41 #62565 /MS/AC/       # 61685-EU</t>
  </si>
  <si>
    <t>P61 #58826 /MS/AC/       #(not known)</t>
  </si>
  <si>
    <t>#012921-410 /MS/           #(not known)</t>
  </si>
  <si>
    <t>#06961-410 /AC/             #(not known)</t>
  </si>
  <si>
    <t>#059085-410 /MS/AC/     #(not known)</t>
  </si>
  <si>
    <t>P61 #58826 /MS/AC/HP  #(not known)</t>
  </si>
  <si>
    <t>35,000 @ 140-230-240bars</t>
  </si>
  <si>
    <t>35,000 @ 140-230-140bars</t>
  </si>
  <si>
    <t>4,000 @ 0-300-0 bars</t>
  </si>
  <si>
    <t>3,600 @ 0-350-0 bars</t>
  </si>
  <si>
    <t>46,950 @140-270-140 bars</t>
  </si>
  <si>
    <t>Molecular Sieve(g)</t>
  </si>
  <si>
    <t>Notes:-</t>
  </si>
  <si>
    <t>(Select from compresor oil choices below, or enter the compressed air oil content for your oil)</t>
  </si>
  <si>
    <t>Author:- Stephen e Burton BSc(hons) C.Eng., MIET</t>
  </si>
  <si>
    <t>The filter must be changed or re-packed with new media after this time. The filtration system will give CGA Grade 'E' or EN12021 'Divers Breathing Air STD) air only up to this time.</t>
  </si>
  <si>
    <t>DisplayedCurrency Unit</t>
  </si>
  <si>
    <t>Hopcalite CO removal rate=</t>
  </si>
  <si>
    <t>Typical Synthetic compressor oil</t>
  </si>
  <si>
    <t>High Performance Syntheic oil</t>
  </si>
  <si>
    <t>Kluber Hysyn ISO 100</t>
  </si>
  <si>
    <t>Anderol 500 ISO 100</t>
  </si>
  <si>
    <t>Mineral Compressor Oil</t>
  </si>
  <si>
    <t>Mobil RARUS 827</t>
  </si>
  <si>
    <t>how much air the MS can dry to CGA Grade 'E' or EN12021 standards</t>
  </si>
  <si>
    <t>how much air the AC can purity to CGA Grade 'E' or EN12021 standards</t>
  </si>
  <si>
    <t>grams (select from table below, or enter the weight used in your filter)</t>
  </si>
  <si>
    <t>MS Density=</t>
  </si>
  <si>
    <t>grams (For compressors used near by petrol or diesel engines)</t>
  </si>
  <si>
    <t>Hopcalite Density=</t>
  </si>
  <si>
    <t>AC Density=</t>
  </si>
  <si>
    <t>Hopcalite CO --&gt; CO2 oxidation processing rate per gram at 150bars =</t>
  </si>
  <si>
    <t>Filter Appearance &amp; Size</t>
  </si>
  <si>
    <t>AC media Length=</t>
  </si>
  <si>
    <t>HP media Length=</t>
  </si>
  <si>
    <t>cm</t>
  </si>
  <si>
    <t>gram/cc</t>
  </si>
  <si>
    <t>Unused length=</t>
  </si>
  <si>
    <t>Typicaly 0.365g/cc</t>
  </si>
  <si>
    <t>Typicaly 0.766g/cc</t>
  </si>
  <si>
    <t>Typicaly 0.617g/cc</t>
  </si>
  <si>
    <t>MS Element Length=</t>
  </si>
  <si>
    <t>MCH6 MS/AC Standard Filter</t>
  </si>
  <si>
    <t>MCH16 MS/AC Standard Filter</t>
  </si>
  <si>
    <t>MCH6 MS/AC/HP Filter with hopcalite</t>
  </si>
  <si>
    <t>MCH16 MS/AC/HP Filter with hopcalite</t>
  </si>
  <si>
    <t>Filter Cartridge Internal Diameter=</t>
  </si>
  <si>
    <t>Filter cartridge internal length available=</t>
  </si>
  <si>
    <t>% of cartridge length</t>
  </si>
  <si>
    <t>Oil Type</t>
  </si>
  <si>
    <t>minutes</t>
  </si>
  <si>
    <t>Pressure Maintaining Valve set point=</t>
  </si>
  <si>
    <t>The maximum compressor filling rate for the mass of hopcalite used in the filter to remove a 20ppm Carbon Monoxide level at the compressor inlet</t>
  </si>
  <si>
    <t>The filling rate of the compressor in Liters/minute. .</t>
  </si>
  <si>
    <t>Minimum Filter Tower operating pressure. Normaly=150bars</t>
  </si>
  <si>
    <t>Example of type</t>
  </si>
  <si>
    <t xml:space="preserve">cm </t>
  </si>
  <si>
    <t>seconds</t>
  </si>
  <si>
    <t>(Straight MS/AC/HP Cartridge Math)</t>
  </si>
  <si>
    <t>Media Dwell Times</t>
  </si>
  <si>
    <t>cm^2</t>
  </si>
  <si>
    <t>Cartridge cross sectional area</t>
  </si>
  <si>
    <t>MS Dwell Time=</t>
  </si>
  <si>
    <t>AC Dwell Time=</t>
  </si>
  <si>
    <t>HP Dwell Time=</t>
  </si>
  <si>
    <t>Cartridge Internal Area=</t>
  </si>
  <si>
    <t>Compressor Filter Life Costings Calculator V2.20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</si>
</sst>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0"/>
    <numFmt numFmtId="179" formatCode="0.000"/>
    <numFmt numFmtId="180" formatCode="h:mm;@"/>
    <numFmt numFmtId="181" formatCode="[$-409]dddd\,\ mmmm\ dd\,\ yyyy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0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u val="single"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33" borderId="14" xfId="0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right"/>
      <protection/>
    </xf>
    <xf numFmtId="177" fontId="6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13" fillId="33" borderId="16" xfId="0" applyFont="1" applyFill="1" applyBorder="1" applyAlignment="1">
      <alignment horizontal="right"/>
    </xf>
    <xf numFmtId="0" fontId="0" fillId="33" borderId="17" xfId="0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horizontal="left"/>
      <protection/>
    </xf>
    <xf numFmtId="0" fontId="0" fillId="33" borderId="19" xfId="0" applyFill="1" applyBorder="1" applyAlignment="1">
      <alignment/>
    </xf>
    <xf numFmtId="0" fontId="0" fillId="34" borderId="0" xfId="0" applyFill="1" applyAlignment="1">
      <alignment/>
    </xf>
    <xf numFmtId="0" fontId="3" fillId="33" borderId="17" xfId="0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 wrapText="1"/>
      <protection/>
    </xf>
    <xf numFmtId="0" fontId="15" fillId="33" borderId="11" xfId="0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5" fillId="33" borderId="11" xfId="0" applyFont="1" applyFill="1" applyBorder="1" applyAlignment="1">
      <alignment horizontal="right"/>
    </xf>
    <xf numFmtId="0" fontId="15" fillId="33" borderId="20" xfId="0" applyFont="1" applyFill="1" applyBorder="1" applyAlignment="1">
      <alignment horizontal="right"/>
    </xf>
    <xf numFmtId="3" fontId="0" fillId="33" borderId="0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33" borderId="13" xfId="0" applyNumberFormat="1" applyFill="1" applyBorder="1" applyAlignment="1">
      <alignment horizontal="right"/>
    </xf>
    <xf numFmtId="3" fontId="0" fillId="33" borderId="16" xfId="0" applyNumberFormat="1" applyFill="1" applyBorder="1" applyAlignment="1">
      <alignment horizontal="right"/>
    </xf>
    <xf numFmtId="2" fontId="2" fillId="34" borderId="0" xfId="0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8" fillId="34" borderId="24" xfId="0" applyFont="1" applyFill="1" applyBorder="1" applyAlignment="1" applyProtection="1">
      <alignment/>
      <protection/>
    </xf>
    <xf numFmtId="0" fontId="8" fillId="34" borderId="25" xfId="0" applyFont="1" applyFill="1" applyBorder="1" applyAlignment="1" applyProtection="1">
      <alignment/>
      <protection/>
    </xf>
    <xf numFmtId="0" fontId="8" fillId="34" borderId="26" xfId="0" applyFont="1" applyFill="1" applyBorder="1" applyAlignment="1" applyProtection="1">
      <alignment/>
      <protection/>
    </xf>
    <xf numFmtId="2" fontId="0" fillId="34" borderId="27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35" borderId="28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35" borderId="29" xfId="0" applyFont="1" applyFill="1" applyBorder="1" applyAlignment="1" applyProtection="1">
      <alignment/>
      <protection locked="0"/>
    </xf>
    <xf numFmtId="0" fontId="0" fillId="35" borderId="30" xfId="0" applyFont="1" applyFill="1" applyBorder="1" applyAlignment="1" applyProtection="1">
      <alignment/>
      <protection locked="0"/>
    </xf>
    <xf numFmtId="0" fontId="2" fillId="34" borderId="31" xfId="0" applyFont="1" applyFill="1" applyBorder="1" applyAlignment="1" applyProtection="1">
      <alignment horizontal="right"/>
      <protection/>
    </xf>
    <xf numFmtId="0" fontId="2" fillId="34" borderId="32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1" fontId="5" fillId="34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Alignment="1">
      <alignment/>
    </xf>
    <xf numFmtId="0" fontId="0" fillId="33" borderId="33" xfId="0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left"/>
      <protection/>
    </xf>
    <xf numFmtId="0" fontId="0" fillId="33" borderId="35" xfId="0" applyFill="1" applyBorder="1" applyAlignment="1">
      <alignment/>
    </xf>
    <xf numFmtId="0" fontId="2" fillId="36" borderId="36" xfId="0" applyFont="1" applyFill="1" applyBorder="1" applyAlignment="1">
      <alignment/>
    </xf>
    <xf numFmtId="0" fontId="3" fillId="36" borderId="37" xfId="0" applyFont="1" applyFill="1" applyBorder="1" applyAlignment="1" applyProtection="1">
      <alignment horizontal="center"/>
      <protection/>
    </xf>
    <xf numFmtId="0" fontId="2" fillId="36" borderId="38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4" fillId="0" borderId="0" xfId="53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4" fillId="0" borderId="0" xfId="53" applyAlignment="1" applyProtection="1">
      <alignment horizontal="center"/>
      <protection/>
    </xf>
    <xf numFmtId="3" fontId="5" fillId="35" borderId="0" xfId="0" applyNumberFormat="1" applyFont="1" applyFill="1" applyBorder="1" applyAlignment="1" applyProtection="1">
      <alignment/>
      <protection locked="0"/>
    </xf>
    <xf numFmtId="3" fontId="5" fillId="35" borderId="13" xfId="0" applyNumberFormat="1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>
      <alignment horizontal="right"/>
    </xf>
    <xf numFmtId="0" fontId="0" fillId="35" borderId="35" xfId="0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2" fillId="34" borderId="39" xfId="0" applyFont="1" applyFill="1" applyBorder="1" applyAlignment="1" applyProtection="1">
      <alignment horizontal="right"/>
      <protection/>
    </xf>
    <xf numFmtId="2" fontId="2" fillId="34" borderId="40" xfId="0" applyNumberFormat="1" applyFont="1" applyFill="1" applyBorder="1" applyAlignment="1" applyProtection="1">
      <alignment/>
      <protection/>
    </xf>
    <xf numFmtId="0" fontId="2" fillId="34" borderId="41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13" fillId="35" borderId="0" xfId="0" applyFont="1" applyFill="1" applyBorder="1" applyAlignment="1" applyProtection="1">
      <alignment horizontal="right"/>
      <protection locked="0"/>
    </xf>
    <xf numFmtId="0" fontId="0" fillId="35" borderId="0" xfId="0" applyFont="1" applyFill="1" applyBorder="1" applyAlignment="1" applyProtection="1">
      <alignment horizontal="right"/>
      <protection locked="0"/>
    </xf>
    <xf numFmtId="0" fontId="0" fillId="35" borderId="0" xfId="0" applyFill="1" applyBorder="1" applyAlignment="1" applyProtection="1">
      <alignment/>
      <protection locked="0"/>
    </xf>
    <xf numFmtId="177" fontId="7" fillId="35" borderId="0" xfId="0" applyNumberFormat="1" applyFont="1" applyFill="1" applyBorder="1" applyAlignment="1" applyProtection="1">
      <alignment horizontal="right"/>
      <protection locked="0"/>
    </xf>
    <xf numFmtId="0" fontId="5" fillId="35" borderId="0" xfId="0" applyFont="1" applyFill="1" applyBorder="1" applyAlignment="1" applyProtection="1">
      <alignment horizontal="right"/>
      <protection locked="0"/>
    </xf>
    <xf numFmtId="177" fontId="16" fillId="35" borderId="0" xfId="0" applyNumberFormat="1" applyFont="1" applyFill="1" applyBorder="1" applyAlignment="1" applyProtection="1">
      <alignment horizontal="right"/>
      <protection locked="0"/>
    </xf>
    <xf numFmtId="0" fontId="13" fillId="35" borderId="13" xfId="0" applyFont="1" applyFill="1" applyBorder="1" applyAlignment="1" applyProtection="1">
      <alignment horizontal="right"/>
      <protection locked="0"/>
    </xf>
    <xf numFmtId="177" fontId="7" fillId="35" borderId="13" xfId="0" applyNumberFormat="1" applyFont="1" applyFill="1" applyBorder="1" applyAlignment="1" applyProtection="1">
      <alignment horizontal="right"/>
      <protection locked="0"/>
    </xf>
    <xf numFmtId="4" fontId="5" fillId="35" borderId="0" xfId="0" applyNumberFormat="1" applyFont="1" applyFill="1" applyBorder="1" applyAlignment="1" applyProtection="1">
      <alignment/>
      <protection locked="0"/>
    </xf>
    <xf numFmtId="4" fontId="5" fillId="35" borderId="13" xfId="0" applyNumberFormat="1" applyFon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13" fillId="35" borderId="33" xfId="0" applyFont="1" applyFill="1" applyBorder="1" applyAlignment="1" applyProtection="1">
      <alignment/>
      <protection locked="0"/>
    </xf>
    <xf numFmtId="0" fontId="13" fillId="35" borderId="34" xfId="0" applyFont="1" applyFill="1" applyBorder="1" applyAlignment="1" applyProtection="1">
      <alignment/>
      <protection locked="0"/>
    </xf>
    <xf numFmtId="0" fontId="13" fillId="35" borderId="35" xfId="0" applyFont="1" applyFill="1" applyBorder="1" applyAlignment="1" applyProtection="1">
      <alignment/>
      <protection locked="0"/>
    </xf>
    <xf numFmtId="0" fontId="0" fillId="35" borderId="42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>
      <alignment horizontal="right"/>
    </xf>
    <xf numFmtId="0" fontId="0" fillId="33" borderId="17" xfId="0" applyFill="1" applyBorder="1" applyAlignment="1" applyProtection="1">
      <alignment horizontal="left" wrapText="1"/>
      <protection/>
    </xf>
    <xf numFmtId="0" fontId="13" fillId="33" borderId="15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2" fillId="35" borderId="43" xfId="0" applyFont="1" applyFill="1" applyBorder="1" applyAlignment="1" applyProtection="1">
      <alignment/>
      <protection locked="0"/>
    </xf>
    <xf numFmtId="0" fontId="2" fillId="35" borderId="29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 horizontal="right"/>
      <protection/>
    </xf>
    <xf numFmtId="179" fontId="0" fillId="33" borderId="0" xfId="0" applyNumberFormat="1" applyFont="1" applyFill="1" applyAlignment="1" applyProtection="1">
      <alignment/>
      <protection/>
    </xf>
    <xf numFmtId="11" fontId="0" fillId="33" borderId="0" xfId="0" applyNumberFormat="1" applyFill="1" applyAlignment="1" applyProtection="1">
      <alignment/>
      <protection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/>
    </xf>
    <xf numFmtId="4" fontId="2" fillId="35" borderId="29" xfId="0" applyNumberFormat="1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horizontal="right"/>
      <protection locked="0"/>
    </xf>
    <xf numFmtId="0" fontId="17" fillId="35" borderId="13" xfId="0" applyFont="1" applyFill="1" applyBorder="1" applyAlignment="1" applyProtection="1">
      <alignment horizontal="right"/>
      <protection locked="0"/>
    </xf>
    <xf numFmtId="0" fontId="13" fillId="33" borderId="0" xfId="0" applyFont="1" applyFill="1" applyBorder="1" applyAlignment="1">
      <alignment horizontal="right"/>
    </xf>
    <xf numFmtId="0" fontId="13" fillId="33" borderId="13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0" fillId="34" borderId="44" xfId="0" applyFont="1" applyFill="1" applyBorder="1" applyAlignment="1" applyProtection="1">
      <alignment/>
      <protection/>
    </xf>
    <xf numFmtId="179" fontId="0" fillId="34" borderId="44" xfId="0" applyNumberFormat="1" applyFont="1" applyFill="1" applyBorder="1" applyAlignment="1" applyProtection="1">
      <alignment/>
      <protection/>
    </xf>
    <xf numFmtId="0" fontId="0" fillId="34" borderId="45" xfId="0" applyFont="1" applyFill="1" applyBorder="1" applyAlignment="1" applyProtection="1">
      <alignment/>
      <protection/>
    </xf>
    <xf numFmtId="2" fontId="0" fillId="34" borderId="46" xfId="0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17" fillId="33" borderId="0" xfId="0" applyFont="1" applyFill="1" applyBorder="1" applyAlignment="1" applyProtection="1">
      <alignment horizontal="right"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13" fillId="33" borderId="13" xfId="0" applyFont="1" applyFill="1" applyBorder="1" applyAlignment="1" applyProtection="1">
      <alignment horizontal="right"/>
      <protection locked="0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/>
    </xf>
    <xf numFmtId="0" fontId="18" fillId="33" borderId="0" xfId="0" applyFont="1" applyFill="1" applyAlignment="1" applyProtection="1">
      <alignment horizontal="right"/>
      <protection/>
    </xf>
    <xf numFmtId="0" fontId="8" fillId="35" borderId="24" xfId="0" applyFont="1" applyFill="1" applyBorder="1" applyAlignment="1" applyProtection="1">
      <alignment/>
      <protection locked="0"/>
    </xf>
    <xf numFmtId="1" fontId="8" fillId="35" borderId="24" xfId="0" applyNumberFormat="1" applyFont="1" applyFill="1" applyBorder="1" applyAlignment="1" applyProtection="1">
      <alignment/>
      <protection locked="0"/>
    </xf>
    <xf numFmtId="0" fontId="13" fillId="33" borderId="0" xfId="0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0" fontId="2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177" fontId="0" fillId="34" borderId="45" xfId="0" applyNumberFormat="1" applyFill="1" applyBorder="1" applyAlignment="1" applyProtection="1">
      <alignment/>
      <protection/>
    </xf>
    <xf numFmtId="0" fontId="8" fillId="0" borderId="0" xfId="0" applyFont="1" applyAlignment="1">
      <alignment horizontal="right"/>
    </xf>
    <xf numFmtId="177" fontId="0" fillId="34" borderId="47" xfId="0" applyNumberForma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7" fontId="0" fillId="34" borderId="48" xfId="0" applyNumberFormat="1" applyFill="1" applyBorder="1" applyAlignment="1" applyProtection="1">
      <alignment/>
      <protection/>
    </xf>
    <xf numFmtId="1" fontId="0" fillId="34" borderId="49" xfId="0" applyNumberFormat="1" applyFill="1" applyBorder="1" applyAlignment="1" applyProtection="1">
      <alignment/>
      <protection/>
    </xf>
    <xf numFmtId="1" fontId="0" fillId="34" borderId="46" xfId="0" applyNumberForma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19" fillId="34" borderId="47" xfId="0" applyFont="1" applyFill="1" applyBorder="1" applyAlignment="1" applyProtection="1">
      <alignment horizontal="right"/>
      <protection/>
    </xf>
    <xf numFmtId="0" fontId="19" fillId="34" borderId="47" xfId="0" applyFont="1" applyFill="1" applyBorder="1" applyAlignment="1" applyProtection="1">
      <alignment/>
      <protection/>
    </xf>
    <xf numFmtId="1" fontId="0" fillId="34" borderId="47" xfId="0" applyNumberFormat="1" applyFont="1" applyFill="1" applyBorder="1" applyAlignment="1" applyProtection="1">
      <alignment/>
      <protection/>
    </xf>
    <xf numFmtId="1" fontId="0" fillId="34" borderId="47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right"/>
      <protection/>
    </xf>
    <xf numFmtId="1" fontId="0" fillId="34" borderId="50" xfId="0" applyNumberFormat="1" applyFill="1" applyBorder="1" applyAlignment="1" applyProtection="1">
      <alignment/>
      <protection/>
    </xf>
    <xf numFmtId="1" fontId="0" fillId="34" borderId="51" xfId="0" applyNumberFormat="1" applyFill="1" applyBorder="1" applyAlignment="1">
      <alignment/>
    </xf>
    <xf numFmtId="177" fontId="0" fillId="35" borderId="42" xfId="0" applyNumberFormat="1" applyFill="1" applyBorder="1" applyAlignment="1" applyProtection="1">
      <alignment/>
      <protection locked="0"/>
    </xf>
    <xf numFmtId="0" fontId="0" fillId="35" borderId="42" xfId="0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37" borderId="52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37" borderId="53" xfId="0" applyNumberFormat="1" applyFill="1" applyBorder="1" applyAlignment="1">
      <alignment/>
    </xf>
    <xf numFmtId="2" fontId="0" fillId="37" borderId="54" xfId="0" applyNumberFormat="1" applyFill="1" applyBorder="1" applyAlignment="1">
      <alignment/>
    </xf>
    <xf numFmtId="2" fontId="0" fillId="37" borderId="55" xfId="0" applyNumberFormat="1" applyFill="1" applyBorder="1" applyAlignment="1">
      <alignment/>
    </xf>
    <xf numFmtId="0" fontId="39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ubaenginee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8.28125" style="0" customWidth="1"/>
    <col min="2" max="2" width="9.57421875" style="0" customWidth="1"/>
    <col min="3" max="3" width="20.00390625" style="0" customWidth="1"/>
    <col min="4" max="4" width="19.421875" style="0" customWidth="1"/>
    <col min="5" max="5" width="18.00390625" style="0" customWidth="1"/>
    <col min="6" max="6" width="16.57421875" style="0" customWidth="1"/>
    <col min="7" max="7" width="13.57421875" style="0" customWidth="1"/>
    <col min="8" max="8" width="15.28125" style="0" customWidth="1"/>
    <col min="9" max="9" width="17.28125" style="0" customWidth="1"/>
    <col min="10" max="10" width="23.8515625" style="0" customWidth="1"/>
    <col min="11" max="11" width="22.7109375" style="0" customWidth="1"/>
  </cols>
  <sheetData>
    <row r="1" spans="1:4" ht="12.75">
      <c r="A1" s="79"/>
      <c r="B1" s="81" t="s">
        <v>76</v>
      </c>
      <c r="C1" s="80"/>
      <c r="D1" s="131" t="s">
        <v>104</v>
      </c>
    </row>
    <row r="2" spans="2:11" s="1" customFormat="1" ht="20.25">
      <c r="B2" s="188" t="s">
        <v>156</v>
      </c>
      <c r="C2" s="2"/>
      <c r="D2" s="3"/>
      <c r="E2" s="3"/>
      <c r="F2" s="3"/>
      <c r="G2" s="3"/>
      <c r="H2" s="3"/>
      <c r="I2" s="2"/>
      <c r="J2" s="2"/>
      <c r="K2" s="2"/>
    </row>
    <row r="3" spans="1:12" ht="13.5" thickBot="1">
      <c r="A3" s="4"/>
      <c r="B3" s="78" t="s">
        <v>75</v>
      </c>
      <c r="C3" s="5"/>
      <c r="D3" s="132" t="s">
        <v>102</v>
      </c>
      <c r="E3" s="5"/>
      <c r="F3" s="5"/>
      <c r="G3" s="5"/>
      <c r="H3" s="6"/>
      <c r="I3" s="161" t="s">
        <v>122</v>
      </c>
      <c r="J3" s="160"/>
      <c r="L3" s="178" t="s">
        <v>149</v>
      </c>
    </row>
    <row r="4" spans="1:12" ht="14.25" thickBot="1" thickTop="1">
      <c r="A4" s="56" t="s">
        <v>7</v>
      </c>
      <c r="B4" s="57">
        <v>200</v>
      </c>
      <c r="C4" s="58" t="s">
        <v>8</v>
      </c>
      <c r="D4" s="6" t="s">
        <v>143</v>
      </c>
      <c r="E4" s="6"/>
      <c r="F4" s="6"/>
      <c r="G4" s="6"/>
      <c r="H4" s="6"/>
      <c r="I4" s="160" t="s">
        <v>148</v>
      </c>
      <c r="J4" s="160"/>
      <c r="L4" s="177" t="s">
        <v>151</v>
      </c>
    </row>
    <row r="5" spans="1:13" ht="14.25" thickBot="1" thickTop="1">
      <c r="A5" s="56" t="s">
        <v>141</v>
      </c>
      <c r="B5" s="59">
        <v>150</v>
      </c>
      <c r="C5" s="58" t="s">
        <v>4</v>
      </c>
      <c r="D5" s="6" t="s">
        <v>144</v>
      </c>
      <c r="E5" s="6"/>
      <c r="F5" s="6"/>
      <c r="G5" s="6"/>
      <c r="H5" s="153" t="s">
        <v>136</v>
      </c>
      <c r="I5" s="173">
        <v>6.2</v>
      </c>
      <c r="J5" s="157" t="s">
        <v>125</v>
      </c>
      <c r="K5" s="180" t="s">
        <v>155</v>
      </c>
      <c r="L5" s="183">
        <f>3.142*((I5/2)^2)</f>
        <v>30.194620000000004</v>
      </c>
      <c r="M5" s="177" t="s">
        <v>150</v>
      </c>
    </row>
    <row r="6" spans="1:12" ht="14.25" thickBot="1" thickTop="1">
      <c r="A6" s="56" t="s">
        <v>0</v>
      </c>
      <c r="B6" s="59">
        <v>200</v>
      </c>
      <c r="C6" s="58" t="s">
        <v>4</v>
      </c>
      <c r="D6" s="6" t="s">
        <v>48</v>
      </c>
      <c r="E6" s="6"/>
      <c r="F6" s="6"/>
      <c r="G6" s="6"/>
      <c r="H6" s="155" t="s">
        <v>137</v>
      </c>
      <c r="I6" s="174">
        <v>22</v>
      </c>
      <c r="J6" s="158" t="s">
        <v>125</v>
      </c>
      <c r="K6" s="181"/>
      <c r="L6" s="184"/>
    </row>
    <row r="7" spans="1:13" ht="13.5" thickTop="1">
      <c r="A7" s="56" t="s">
        <v>1</v>
      </c>
      <c r="B7" s="59">
        <v>50</v>
      </c>
      <c r="C7" s="58" t="s">
        <v>4</v>
      </c>
      <c r="D7" s="6" t="s">
        <v>49</v>
      </c>
      <c r="E7" s="6"/>
      <c r="F7" s="6"/>
      <c r="G7" s="6"/>
      <c r="H7" s="153" t="s">
        <v>131</v>
      </c>
      <c r="I7" s="154">
        <f>(B16/G18)/(PI()*(($I$5/2)^2))</f>
        <v>3.650484328098561</v>
      </c>
      <c r="J7" s="175" t="s">
        <v>146</v>
      </c>
      <c r="K7" s="181" t="s">
        <v>152</v>
      </c>
      <c r="L7" s="185">
        <f>($L$5*I7)/(($B$4*1000)/($B$5*60))</f>
        <v>4.960124419630112</v>
      </c>
      <c r="M7" s="179" t="s">
        <v>147</v>
      </c>
    </row>
    <row r="8" spans="1:13" ht="13.5" thickBot="1">
      <c r="A8" s="56" t="s">
        <v>2</v>
      </c>
      <c r="B8" s="60">
        <v>12</v>
      </c>
      <c r="C8" s="58" t="s">
        <v>3</v>
      </c>
      <c r="D8" s="6" t="s">
        <v>50</v>
      </c>
      <c r="E8" s="6"/>
      <c r="F8" s="6"/>
      <c r="G8" s="6"/>
      <c r="H8" s="153" t="s">
        <v>123</v>
      </c>
      <c r="I8" s="156">
        <f>(B18/G20)/(PI()*(($I$5/2)^2))</f>
        <v>1.81494668044868</v>
      </c>
      <c r="J8" s="175" t="s">
        <v>125</v>
      </c>
      <c r="K8" s="181" t="s">
        <v>153</v>
      </c>
      <c r="L8" s="186">
        <f>($L$5*I8)/(($B$4*1000)/($B$5*60))</f>
        <v>2.46607314013842</v>
      </c>
      <c r="M8" s="179" t="s">
        <v>147</v>
      </c>
    </row>
    <row r="9" spans="1:13" ht="14.25" thickBot="1" thickTop="1">
      <c r="A9" s="56" t="s">
        <v>5</v>
      </c>
      <c r="B9" s="133">
        <f>(B6-B7)*B8</f>
        <v>1800</v>
      </c>
      <c r="C9" s="58" t="s">
        <v>3</v>
      </c>
      <c r="D9" s="6" t="s">
        <v>51</v>
      </c>
      <c r="E9" s="6"/>
      <c r="F9" s="6"/>
      <c r="G9" s="6"/>
      <c r="H9" s="153" t="s">
        <v>124</v>
      </c>
      <c r="I9" s="156">
        <f>(B20/G22)/(PI()*(($I$5/2)^2))</f>
        <v>0</v>
      </c>
      <c r="J9" s="175" t="s">
        <v>125</v>
      </c>
      <c r="K9" s="182" t="s">
        <v>154</v>
      </c>
      <c r="L9" s="187">
        <f>($L$5*I9)/(($B$4*1000)/($B$5*60))</f>
        <v>0</v>
      </c>
      <c r="M9" s="179" t="s">
        <v>147</v>
      </c>
    </row>
    <row r="10" spans="1:10" ht="14.25" thickBot="1" thickTop="1">
      <c r="A10" s="56" t="s">
        <v>37</v>
      </c>
      <c r="B10" s="108">
        <v>20</v>
      </c>
      <c r="C10" s="58" t="s">
        <v>39</v>
      </c>
      <c r="D10" s="6"/>
      <c r="E10" s="52">
        <f>B10+273.15</f>
        <v>293.15</v>
      </c>
      <c r="F10" s="6" t="s">
        <v>42</v>
      </c>
      <c r="G10" s="6"/>
      <c r="H10" s="153" t="s">
        <v>127</v>
      </c>
      <c r="I10" s="162">
        <f>I6-SUM(I7:I9)</f>
        <v>16.53456899145276</v>
      </c>
      <c r="J10" s="176" t="s">
        <v>146</v>
      </c>
    </row>
    <row r="11" spans="1:11" ht="14.25" thickBot="1" thickTop="1">
      <c r="A11" s="56" t="s">
        <v>38</v>
      </c>
      <c r="B11" s="134">
        <f>0.673*(10^(-7.90298*((373.16/E10)-1)+5.02808*LOG(373.16/E10)-0.00000013816*(10^(11.344*(1-(E10/373.16)))-1)+0.0081328*(10^(-3.49149*((373.16/E10)-1))-1)+LOG(1013.246)))</f>
        <v>15.720249172621001</v>
      </c>
      <c r="C11" s="58" t="s">
        <v>78</v>
      </c>
      <c r="D11" s="6" t="s">
        <v>47</v>
      </c>
      <c r="E11" s="6"/>
      <c r="F11" s="6"/>
      <c r="G11" s="6"/>
      <c r="H11" s="153" t="s">
        <v>131</v>
      </c>
      <c r="I11" s="163">
        <f>(I7/I6)*100</f>
        <v>16.593110582266185</v>
      </c>
      <c r="J11" s="159" t="s">
        <v>138</v>
      </c>
      <c r="K11" s="177"/>
    </row>
    <row r="12" spans="1:10" ht="14.25" thickBot="1" thickTop="1">
      <c r="A12" s="56" t="s">
        <v>40</v>
      </c>
      <c r="B12" s="108">
        <v>14</v>
      </c>
      <c r="C12" s="58" t="s">
        <v>77</v>
      </c>
      <c r="D12" s="6"/>
      <c r="E12" s="53">
        <f>B12+273.15</f>
        <v>287.15</v>
      </c>
      <c r="F12" s="6" t="s">
        <v>42</v>
      </c>
      <c r="G12" s="6"/>
      <c r="H12" s="153" t="s">
        <v>123</v>
      </c>
      <c r="I12" s="164">
        <f>(I8/I6)*100</f>
        <v>8.249757638403091</v>
      </c>
      <c r="J12" s="159" t="s">
        <v>138</v>
      </c>
    </row>
    <row r="13" spans="1:10" ht="14.25" thickBot="1" thickTop="1">
      <c r="A13" s="56" t="s">
        <v>45</v>
      </c>
      <c r="B13" s="135">
        <f>B10+B12</f>
        <v>34</v>
      </c>
      <c r="C13" s="58" t="s">
        <v>39</v>
      </c>
      <c r="D13" s="6"/>
      <c r="E13" s="54">
        <f>B13+273.15</f>
        <v>307.15</v>
      </c>
      <c r="F13" s="6" t="s">
        <v>42</v>
      </c>
      <c r="G13" s="6"/>
      <c r="H13" s="153" t="s">
        <v>124</v>
      </c>
      <c r="I13" s="171">
        <f>(I9/I6)*100</f>
        <v>0</v>
      </c>
      <c r="J13" s="159" t="s">
        <v>138</v>
      </c>
    </row>
    <row r="14" spans="1:10" ht="14.25" thickBot="1" thickTop="1">
      <c r="A14" s="56" t="s">
        <v>41</v>
      </c>
      <c r="B14" s="134">
        <f>0.673*(10^(-7.90298*((373.16/E13)-1)+5.02808*LOG(373.16/E13)-0.00000013816*(10^(11.344*(1-(E13/373.16)))-1)+0.0081328*(10^(-3.49149*((373.16/E13)-1))-1)+LOG(1013.246)))</f>
        <v>35.78372825528562</v>
      </c>
      <c r="C14" s="58" t="s">
        <v>78</v>
      </c>
      <c r="D14" s="6" t="s">
        <v>47</v>
      </c>
      <c r="E14" s="6"/>
      <c r="F14" s="6"/>
      <c r="G14" s="6"/>
      <c r="H14" s="170" t="s">
        <v>127</v>
      </c>
      <c r="I14" s="172">
        <f>(I10/I6)*100</f>
        <v>75.15713177933073</v>
      </c>
      <c r="J14" s="159" t="s">
        <v>138</v>
      </c>
    </row>
    <row r="15" spans="1:14" ht="14.25" thickBot="1" thickTop="1">
      <c r="A15" s="121" t="s">
        <v>74</v>
      </c>
      <c r="B15" s="122"/>
      <c r="C15" s="114"/>
      <c r="D15" s="7"/>
      <c r="E15" s="7"/>
      <c r="F15" s="7"/>
      <c r="G15" s="7"/>
      <c r="H15" s="7"/>
      <c r="I15" s="123"/>
      <c r="J15" s="37"/>
      <c r="K15" s="37"/>
      <c r="L15" s="120"/>
      <c r="M15" s="120"/>
      <c r="N15" s="120"/>
    </row>
    <row r="16" spans="1:14" s="117" customFormat="1" ht="14.25" thickBot="1" thickTop="1">
      <c r="A16" s="113" t="s">
        <v>6</v>
      </c>
      <c r="B16" s="118">
        <v>68</v>
      </c>
      <c r="C16" s="115" t="s">
        <v>116</v>
      </c>
      <c r="D16" s="148"/>
      <c r="E16" s="115"/>
      <c r="F16" s="115"/>
      <c r="G16" s="115"/>
      <c r="H16" s="115"/>
      <c r="I16" s="149" t="s">
        <v>102</v>
      </c>
      <c r="J16" s="150"/>
      <c r="K16" s="116"/>
      <c r="L16" s="124"/>
      <c r="M16" s="124"/>
      <c r="N16" s="124"/>
    </row>
    <row r="17" spans="1:14" ht="14.25" thickBot="1" thickTop="1">
      <c r="A17" s="120"/>
      <c r="B17" s="120"/>
      <c r="C17" s="151"/>
      <c r="D17" s="151"/>
      <c r="E17" s="7"/>
      <c r="F17" s="152" t="s">
        <v>31</v>
      </c>
      <c r="G17" s="145">
        <v>20</v>
      </c>
      <c r="H17" s="147" t="s">
        <v>32</v>
      </c>
      <c r="I17" s="7" t="s">
        <v>43</v>
      </c>
      <c r="J17" s="147"/>
      <c r="K17" s="37"/>
      <c r="L17" s="120"/>
      <c r="M17" s="120"/>
      <c r="N17" s="120"/>
    </row>
    <row r="18" spans="1:14" s="117" customFormat="1" ht="14.25" thickBot="1" thickTop="1">
      <c r="A18" s="113" t="s">
        <v>21</v>
      </c>
      <c r="B18" s="119">
        <v>20</v>
      </c>
      <c r="C18" s="115" t="s">
        <v>116</v>
      </c>
      <c r="D18" s="148"/>
      <c r="E18" s="115"/>
      <c r="F18" s="144" t="s">
        <v>117</v>
      </c>
      <c r="G18" s="145">
        <v>0.617</v>
      </c>
      <c r="H18" s="7" t="s">
        <v>126</v>
      </c>
      <c r="I18" s="7" t="s">
        <v>130</v>
      </c>
      <c r="J18" s="150"/>
      <c r="K18" s="116"/>
      <c r="L18" s="124"/>
      <c r="M18" s="124"/>
      <c r="N18" s="124"/>
    </row>
    <row r="19" spans="1:14" ht="14.25" thickBot="1" thickTop="1">
      <c r="A19" s="120"/>
      <c r="B19" s="120"/>
      <c r="C19" s="151"/>
      <c r="D19" s="151"/>
      <c r="E19" s="7"/>
      <c r="F19" s="152" t="s">
        <v>33</v>
      </c>
      <c r="G19" s="145">
        <v>7.5</v>
      </c>
      <c r="H19" s="147" t="s">
        <v>81</v>
      </c>
      <c r="I19" s="7" t="s">
        <v>44</v>
      </c>
      <c r="J19" s="147"/>
      <c r="K19" s="37"/>
      <c r="L19" s="120"/>
      <c r="M19" s="120"/>
      <c r="N19" s="120"/>
    </row>
    <row r="20" spans="1:14" s="117" customFormat="1" ht="14.25" thickBot="1" thickTop="1">
      <c r="A20" s="113" t="s">
        <v>25</v>
      </c>
      <c r="B20" s="119">
        <v>0</v>
      </c>
      <c r="C20" s="115" t="s">
        <v>118</v>
      </c>
      <c r="D20" s="148"/>
      <c r="E20" s="115"/>
      <c r="F20" s="144" t="s">
        <v>120</v>
      </c>
      <c r="G20" s="145">
        <v>0.365</v>
      </c>
      <c r="H20" s="7" t="s">
        <v>126</v>
      </c>
      <c r="I20" s="7" t="s">
        <v>128</v>
      </c>
      <c r="J20" s="150"/>
      <c r="K20" s="116"/>
      <c r="L20" s="124"/>
      <c r="M20" s="124"/>
      <c r="N20" s="124"/>
    </row>
    <row r="21" spans="1:14" ht="14.25" thickBot="1" thickTop="1">
      <c r="A21" s="120"/>
      <c r="B21" s="120"/>
      <c r="C21" s="151"/>
      <c r="D21" s="151"/>
      <c r="E21" s="7"/>
      <c r="F21" s="152" t="s">
        <v>121</v>
      </c>
      <c r="G21" s="145">
        <v>5</v>
      </c>
      <c r="H21" s="147" t="s">
        <v>34</v>
      </c>
      <c r="I21" s="7" t="s">
        <v>46</v>
      </c>
      <c r="J21" s="147"/>
      <c r="K21" s="37"/>
      <c r="L21" s="120"/>
      <c r="M21" s="120"/>
      <c r="N21" s="120"/>
    </row>
    <row r="22" spans="1:14" s="117" customFormat="1" ht="14.25" thickBot="1" thickTop="1">
      <c r="A22" s="113" t="s">
        <v>72</v>
      </c>
      <c r="B22" s="126">
        <v>57</v>
      </c>
      <c r="C22" s="115" t="str">
        <f>I54&amp;" (Enter filter replacement or refill cost here)"</f>
        <v>US$ (Enter filter replacement or refill cost here)</v>
      </c>
      <c r="D22" s="148"/>
      <c r="E22" s="115"/>
      <c r="F22" s="144" t="s">
        <v>119</v>
      </c>
      <c r="G22" s="145">
        <v>0.766</v>
      </c>
      <c r="H22" s="7" t="s">
        <v>126</v>
      </c>
      <c r="I22" s="7" t="s">
        <v>129</v>
      </c>
      <c r="J22" s="150"/>
      <c r="K22" s="116"/>
      <c r="L22" s="124"/>
      <c r="M22" s="124"/>
      <c r="N22" s="124"/>
    </row>
    <row r="23" spans="1:14" ht="14.25" thickBot="1" thickTop="1">
      <c r="A23" s="120"/>
      <c r="B23" s="120"/>
      <c r="C23" s="151"/>
      <c r="D23" s="151"/>
      <c r="E23" s="7"/>
      <c r="F23" s="152" t="s">
        <v>30</v>
      </c>
      <c r="G23" s="146">
        <v>5</v>
      </c>
      <c r="H23" s="147" t="s">
        <v>80</v>
      </c>
      <c r="I23" s="7" t="s">
        <v>103</v>
      </c>
      <c r="J23" s="147"/>
      <c r="K23" s="37"/>
      <c r="L23" s="120"/>
      <c r="M23" s="120"/>
      <c r="N23" s="120"/>
    </row>
    <row r="24" spans="1:14" ht="13.5" thickTop="1">
      <c r="A24" s="35" t="s">
        <v>22</v>
      </c>
      <c r="B24" s="136">
        <f>((G17/100)*B16)/(B14/B5)</f>
        <v>57.009151909672006</v>
      </c>
      <c r="C24" s="125" t="s">
        <v>79</v>
      </c>
      <c r="D24" s="7" t="s">
        <v>114</v>
      </c>
      <c r="E24" s="7"/>
      <c r="F24" s="7"/>
      <c r="G24" s="7"/>
      <c r="H24" s="7"/>
      <c r="I24" s="37"/>
      <c r="J24" s="37"/>
      <c r="K24" s="37"/>
      <c r="L24" s="120"/>
      <c r="M24" s="120"/>
      <c r="N24" s="120"/>
    </row>
    <row r="25" spans="1:14" ht="13.5" thickBot="1">
      <c r="A25" s="35" t="s">
        <v>23</v>
      </c>
      <c r="B25" s="55">
        <f>(B18*G19/100)/(G23/1000)</f>
        <v>300</v>
      </c>
      <c r="C25" s="125" t="s">
        <v>79</v>
      </c>
      <c r="D25" s="7" t="s">
        <v>115</v>
      </c>
      <c r="E25" s="7"/>
      <c r="F25" s="7"/>
      <c r="G25" s="7"/>
      <c r="H25" s="7"/>
      <c r="I25" s="37"/>
      <c r="J25" s="37"/>
      <c r="K25" s="37"/>
      <c r="L25" s="120"/>
      <c r="M25" s="120"/>
      <c r="N25" s="120"/>
    </row>
    <row r="26" spans="1:11" ht="13.5" thickTop="1">
      <c r="A26" s="75"/>
      <c r="B26" s="76" t="s">
        <v>63</v>
      </c>
      <c r="C26" s="77"/>
      <c r="D26" s="91"/>
      <c r="E26" s="91"/>
      <c r="G26" s="166" t="s">
        <v>9</v>
      </c>
      <c r="H26" s="167" t="s">
        <v>140</v>
      </c>
      <c r="I26" s="5"/>
      <c r="J26" s="5"/>
      <c r="K26" s="5"/>
    </row>
    <row r="27" spans="1:11" ht="12.75">
      <c r="A27" s="61" t="s">
        <v>36</v>
      </c>
      <c r="B27" s="48">
        <f>B24/((B4*60)/1000)</f>
        <v>4.750762659139334</v>
      </c>
      <c r="C27" s="49" t="s">
        <v>9</v>
      </c>
      <c r="D27" s="38" t="s">
        <v>57</v>
      </c>
      <c r="E27" s="92"/>
      <c r="G27" s="168">
        <f>INT(B27)</f>
        <v>4</v>
      </c>
      <c r="H27" s="169">
        <f>(B27-G27)*60</f>
        <v>45.04575954836005</v>
      </c>
      <c r="I27" s="5"/>
      <c r="J27" s="5"/>
      <c r="K27" s="5"/>
    </row>
    <row r="28" spans="1:11" ht="12.75">
      <c r="A28" s="61" t="s">
        <v>35</v>
      </c>
      <c r="B28" s="48">
        <f>((B25*1000)/B4)/60</f>
        <v>25</v>
      </c>
      <c r="C28" s="49" t="s">
        <v>9</v>
      </c>
      <c r="D28" s="38" t="s">
        <v>58</v>
      </c>
      <c r="E28" s="92"/>
      <c r="G28" s="168">
        <f>INT(B28)</f>
        <v>25</v>
      </c>
      <c r="H28" s="169">
        <f>(B28-G28)*60</f>
        <v>0</v>
      </c>
      <c r="I28" s="5"/>
      <c r="J28" s="5"/>
      <c r="K28" s="5"/>
    </row>
    <row r="29" spans="1:11" ht="13.5" thickBot="1">
      <c r="A29" s="61" t="s">
        <v>107</v>
      </c>
      <c r="B29" s="48">
        <f>B20*G21</f>
        <v>0</v>
      </c>
      <c r="C29" s="49" t="s">
        <v>24</v>
      </c>
      <c r="D29" s="38" t="s">
        <v>142</v>
      </c>
      <c r="E29" s="92"/>
      <c r="G29" s="41"/>
      <c r="H29" s="5"/>
      <c r="I29" s="5"/>
      <c r="J29" s="5"/>
      <c r="K29" s="5"/>
    </row>
    <row r="30" spans="1:11" ht="12.75">
      <c r="A30" s="88" t="s">
        <v>66</v>
      </c>
      <c r="B30" s="89">
        <f>MIN(B27:B28)</f>
        <v>4.750762659139334</v>
      </c>
      <c r="C30" s="90" t="s">
        <v>67</v>
      </c>
      <c r="D30" s="38" t="s">
        <v>105</v>
      </c>
      <c r="E30" s="92"/>
      <c r="G30" s="41"/>
      <c r="H30" s="5"/>
      <c r="I30" s="5"/>
      <c r="J30" s="5"/>
      <c r="K30" s="5"/>
    </row>
    <row r="31" spans="1:11" ht="12.75">
      <c r="A31" s="61" t="s">
        <v>64</v>
      </c>
      <c r="B31" s="48">
        <f>MIN(B24:B25)/(B9/1000)</f>
        <v>31.67175106092889</v>
      </c>
      <c r="C31" s="49" t="s">
        <v>68</v>
      </c>
      <c r="D31" s="6" t="s">
        <v>56</v>
      </c>
      <c r="E31" s="91"/>
      <c r="G31" s="6"/>
      <c r="H31" s="6"/>
      <c r="I31" s="5"/>
      <c r="J31" s="5"/>
      <c r="K31" s="5"/>
    </row>
    <row r="32" spans="1:11" ht="13.5" thickBot="1">
      <c r="A32" s="62" t="s">
        <v>65</v>
      </c>
      <c r="B32" s="50">
        <f>B22/B31</f>
        <v>1.7997110387217177</v>
      </c>
      <c r="C32" s="51" t="str">
        <f>I54</f>
        <v>US$</v>
      </c>
      <c r="D32" s="38" t="s">
        <v>59</v>
      </c>
      <c r="E32" s="93"/>
      <c r="G32" s="41"/>
      <c r="H32" s="5"/>
      <c r="I32" s="8"/>
      <c r="J32" s="8"/>
      <c r="K32" s="8"/>
    </row>
    <row r="33" spans="1:11" ht="13.5" thickTop="1">
      <c r="A33" s="10" t="s">
        <v>60</v>
      </c>
      <c r="B33" s="40" t="s">
        <v>61</v>
      </c>
      <c r="C33" s="11"/>
      <c r="D33" s="11"/>
      <c r="E33" s="11"/>
      <c r="F33" s="12"/>
      <c r="G33" s="11"/>
      <c r="H33" s="32" t="s">
        <v>73</v>
      </c>
      <c r="I33" s="32" t="s">
        <v>73</v>
      </c>
      <c r="J33" s="42" t="s">
        <v>83</v>
      </c>
      <c r="K33" s="43" t="s">
        <v>84</v>
      </c>
    </row>
    <row r="34" spans="1:11" ht="12.75">
      <c r="A34" s="30" t="s">
        <v>19</v>
      </c>
      <c r="B34" s="13" t="s">
        <v>62</v>
      </c>
      <c r="C34" s="14" t="s">
        <v>101</v>
      </c>
      <c r="D34" s="15" t="s">
        <v>53</v>
      </c>
      <c r="E34" s="15" t="s">
        <v>54</v>
      </c>
      <c r="F34" s="15" t="s">
        <v>69</v>
      </c>
      <c r="G34" s="84"/>
      <c r="H34" s="15" t="s">
        <v>12</v>
      </c>
      <c r="I34" s="15" t="s">
        <v>13</v>
      </c>
      <c r="J34" s="85" t="s">
        <v>82</v>
      </c>
      <c r="K34" s="109" t="s">
        <v>82</v>
      </c>
    </row>
    <row r="35" spans="1:11" ht="12.75">
      <c r="A35" s="26" t="s">
        <v>85</v>
      </c>
      <c r="B35" s="16">
        <v>200</v>
      </c>
      <c r="C35" s="137">
        <v>68</v>
      </c>
      <c r="D35" s="138">
        <v>20</v>
      </c>
      <c r="E35" s="138">
        <v>0</v>
      </c>
      <c r="F35" s="82">
        <v>40</v>
      </c>
      <c r="G35" s="96" t="str">
        <f>I54</f>
        <v>US$</v>
      </c>
      <c r="H35" s="97">
        <v>191</v>
      </c>
      <c r="I35" s="22">
        <f>H35+(C35*($G$17/100))+(D35*($G$19/100))</f>
        <v>206.1</v>
      </c>
      <c r="J35" s="23" t="s">
        <v>96</v>
      </c>
      <c r="K35" s="24" t="s">
        <v>98</v>
      </c>
    </row>
    <row r="36" spans="1:11" ht="12.75">
      <c r="A36" s="26" t="s">
        <v>86</v>
      </c>
      <c r="B36" s="16">
        <v>200</v>
      </c>
      <c r="C36" s="137">
        <v>58</v>
      </c>
      <c r="D36" s="137">
        <v>17</v>
      </c>
      <c r="E36" s="139">
        <v>40</v>
      </c>
      <c r="F36" s="98">
        <v>58</v>
      </c>
      <c r="G36" s="96" t="str">
        <f>I54</f>
        <v>US$</v>
      </c>
      <c r="H36" s="99">
        <v>200</v>
      </c>
      <c r="I36" s="22">
        <f aca="true" t="shared" si="0" ref="I36:I50">H36+(C36*($G$17/100))+(D36*($G$19/100))</f>
        <v>212.875</v>
      </c>
      <c r="J36" s="23" t="s">
        <v>97</v>
      </c>
      <c r="K36" s="24" t="s">
        <v>98</v>
      </c>
    </row>
    <row r="37" spans="1:11" ht="12.75">
      <c r="A37" s="26" t="s">
        <v>89</v>
      </c>
      <c r="B37" s="16">
        <v>350</v>
      </c>
      <c r="C37" s="137">
        <v>300</v>
      </c>
      <c r="D37" s="138">
        <v>40</v>
      </c>
      <c r="E37" s="138">
        <v>0</v>
      </c>
      <c r="F37" s="82">
        <v>125</v>
      </c>
      <c r="G37" s="96" t="str">
        <f>I54</f>
        <v>US$</v>
      </c>
      <c r="H37" s="97">
        <v>739</v>
      </c>
      <c r="I37" s="22">
        <f t="shared" si="0"/>
        <v>802</v>
      </c>
      <c r="J37" s="129" t="s">
        <v>16</v>
      </c>
      <c r="K37" s="24" t="s">
        <v>99</v>
      </c>
    </row>
    <row r="38" spans="1:11" ht="12.75">
      <c r="A38" s="26" t="s">
        <v>87</v>
      </c>
      <c r="B38" s="16">
        <v>350</v>
      </c>
      <c r="C38" s="137">
        <v>255</v>
      </c>
      <c r="D38" s="137">
        <v>34</v>
      </c>
      <c r="E38" s="139">
        <v>70</v>
      </c>
      <c r="F38" s="98">
        <v>181</v>
      </c>
      <c r="G38" s="96" t="str">
        <f>I54</f>
        <v>US$</v>
      </c>
      <c r="H38" s="99">
        <v>758</v>
      </c>
      <c r="I38" s="22">
        <f t="shared" si="0"/>
        <v>811.55</v>
      </c>
      <c r="J38" s="129" t="s">
        <v>16</v>
      </c>
      <c r="K38" s="24" t="s">
        <v>99</v>
      </c>
    </row>
    <row r="39" spans="1:11" ht="12.75">
      <c r="A39" s="26" t="s">
        <v>90</v>
      </c>
      <c r="B39" s="16">
        <v>450</v>
      </c>
      <c r="C39" s="137">
        <v>600</v>
      </c>
      <c r="D39" s="138">
        <v>102</v>
      </c>
      <c r="E39" s="138">
        <v>0</v>
      </c>
      <c r="F39" s="82">
        <v>125</v>
      </c>
      <c r="G39" s="96" t="str">
        <f>I54</f>
        <v>US$</v>
      </c>
      <c r="H39" s="97">
        <v>1376</v>
      </c>
      <c r="I39" s="22">
        <f t="shared" si="0"/>
        <v>1503.65</v>
      </c>
      <c r="J39" s="129" t="s">
        <v>16</v>
      </c>
      <c r="K39" s="24" t="s">
        <v>100</v>
      </c>
    </row>
    <row r="40" spans="1:11" ht="12.75">
      <c r="A40" s="26" t="s">
        <v>88</v>
      </c>
      <c r="B40" s="16">
        <v>450</v>
      </c>
      <c r="C40" s="137">
        <v>512</v>
      </c>
      <c r="D40" s="137">
        <v>86</v>
      </c>
      <c r="E40" s="139">
        <v>90</v>
      </c>
      <c r="F40" s="98">
        <v>181</v>
      </c>
      <c r="G40" s="96" t="str">
        <f>I54</f>
        <v>US$</v>
      </c>
      <c r="H40" s="99">
        <v>1445</v>
      </c>
      <c r="I40" s="22">
        <f t="shared" si="0"/>
        <v>1553.8500000000001</v>
      </c>
      <c r="J40" s="129" t="s">
        <v>16</v>
      </c>
      <c r="K40" s="24" t="s">
        <v>100</v>
      </c>
    </row>
    <row r="41" spans="1:11" ht="12.75">
      <c r="A41" s="110" t="s">
        <v>91</v>
      </c>
      <c r="B41" s="16">
        <v>680</v>
      </c>
      <c r="C41" s="137">
        <v>1000</v>
      </c>
      <c r="D41" s="138">
        <v>135</v>
      </c>
      <c r="E41" s="138">
        <v>0</v>
      </c>
      <c r="F41" s="82">
        <v>150</v>
      </c>
      <c r="G41" s="96" t="str">
        <f>I54</f>
        <v>US$</v>
      </c>
      <c r="H41" s="97">
        <v>1937</v>
      </c>
      <c r="I41" s="22">
        <f t="shared" si="0"/>
        <v>2147.125</v>
      </c>
      <c r="J41" s="129" t="s">
        <v>16</v>
      </c>
      <c r="K41" s="111" t="s">
        <v>16</v>
      </c>
    </row>
    <row r="42" spans="1:11" ht="12.75">
      <c r="A42" s="110" t="s">
        <v>95</v>
      </c>
      <c r="B42" s="16">
        <v>680</v>
      </c>
      <c r="C42" s="137">
        <v>850</v>
      </c>
      <c r="D42" s="138">
        <v>135</v>
      </c>
      <c r="E42" s="140">
        <v>136</v>
      </c>
      <c r="F42" s="82">
        <v>267</v>
      </c>
      <c r="G42" s="96" t="str">
        <f>I54</f>
        <v>US$</v>
      </c>
      <c r="H42" s="97">
        <v>2100</v>
      </c>
      <c r="I42" s="22">
        <f t="shared" si="0"/>
        <v>2280.125</v>
      </c>
      <c r="J42" s="129" t="s">
        <v>16</v>
      </c>
      <c r="K42" s="111" t="s">
        <v>16</v>
      </c>
    </row>
    <row r="43" spans="1:11" ht="12.75">
      <c r="A43" s="110" t="s">
        <v>92</v>
      </c>
      <c r="B43" s="16">
        <v>320</v>
      </c>
      <c r="C43" s="137">
        <v>120</v>
      </c>
      <c r="D43" s="138">
        <v>0</v>
      </c>
      <c r="E43" s="138">
        <v>0</v>
      </c>
      <c r="F43" s="82">
        <v>45</v>
      </c>
      <c r="G43" s="96" t="str">
        <f>I54</f>
        <v>US$</v>
      </c>
      <c r="H43" s="97">
        <v>196</v>
      </c>
      <c r="I43" s="22">
        <f t="shared" si="0"/>
        <v>220</v>
      </c>
      <c r="J43" s="129" t="s">
        <v>16</v>
      </c>
      <c r="K43" s="111" t="s">
        <v>16</v>
      </c>
    </row>
    <row r="44" spans="1:11" ht="12.75">
      <c r="A44" s="110" t="s">
        <v>93</v>
      </c>
      <c r="B44" s="16">
        <v>320</v>
      </c>
      <c r="C44" s="137">
        <v>0</v>
      </c>
      <c r="D44" s="138">
        <v>58</v>
      </c>
      <c r="E44" s="138">
        <v>0</v>
      </c>
      <c r="F44" s="82">
        <v>45</v>
      </c>
      <c r="G44" s="96" t="str">
        <f>I54</f>
        <v>US$</v>
      </c>
      <c r="H44" s="97">
        <v>144</v>
      </c>
      <c r="I44" s="22">
        <f t="shared" si="0"/>
        <v>148.35</v>
      </c>
      <c r="J44" s="129" t="s">
        <v>16</v>
      </c>
      <c r="K44" s="111" t="s">
        <v>16</v>
      </c>
    </row>
    <row r="45" spans="1:11" ht="13.5" thickBot="1">
      <c r="A45" s="31" t="s">
        <v>94</v>
      </c>
      <c r="B45" s="17">
        <v>320</v>
      </c>
      <c r="C45" s="141">
        <v>90</v>
      </c>
      <c r="D45" s="142">
        <v>20</v>
      </c>
      <c r="E45" s="142">
        <v>0</v>
      </c>
      <c r="F45" s="83">
        <v>45</v>
      </c>
      <c r="G45" s="104" t="str">
        <f>I54</f>
        <v>US$</v>
      </c>
      <c r="H45" s="101">
        <v>187</v>
      </c>
      <c r="I45" s="22">
        <f t="shared" si="0"/>
        <v>206.5</v>
      </c>
      <c r="J45" s="130" t="s">
        <v>16</v>
      </c>
      <c r="K45" s="25" t="s">
        <v>16</v>
      </c>
    </row>
    <row r="46" spans="1:11" ht="13.5" thickTop="1">
      <c r="A46" s="30" t="s">
        <v>11</v>
      </c>
      <c r="B46" s="13" t="s">
        <v>62</v>
      </c>
      <c r="C46" s="14" t="s">
        <v>52</v>
      </c>
      <c r="D46" s="15" t="s">
        <v>53</v>
      </c>
      <c r="E46" s="15" t="s">
        <v>54</v>
      </c>
      <c r="F46" s="15" t="s">
        <v>70</v>
      </c>
      <c r="G46" s="84"/>
      <c r="H46" s="15" t="s">
        <v>12</v>
      </c>
      <c r="I46" s="12" t="s">
        <v>13</v>
      </c>
      <c r="J46" s="112" t="s">
        <v>82</v>
      </c>
      <c r="K46" s="109" t="s">
        <v>82</v>
      </c>
    </row>
    <row r="47" spans="1:11" ht="12.75">
      <c r="A47" s="87" t="s">
        <v>132</v>
      </c>
      <c r="B47" s="16">
        <v>100</v>
      </c>
      <c r="C47" s="94">
        <v>25</v>
      </c>
      <c r="D47" s="95">
        <v>20</v>
      </c>
      <c r="E47" s="95">
        <v>0</v>
      </c>
      <c r="F47" s="102">
        <f>((C47/1000)*$I$51)+((D47/1000)*$D$47)+((E47/1000)*$I$53)</f>
        <v>0.925</v>
      </c>
      <c r="G47" s="96" t="str">
        <f>I54</f>
        <v>US$</v>
      </c>
      <c r="H47" s="97">
        <v>113</v>
      </c>
      <c r="I47" s="22">
        <f t="shared" si="0"/>
        <v>119.5</v>
      </c>
      <c r="J47" s="44">
        <v>5000</v>
      </c>
      <c r="K47" s="45">
        <v>1250</v>
      </c>
    </row>
    <row r="48" spans="1:11" ht="12.75">
      <c r="A48" s="87" t="s">
        <v>134</v>
      </c>
      <c r="B48" s="16">
        <v>100</v>
      </c>
      <c r="C48" s="94">
        <v>25</v>
      </c>
      <c r="D48" s="95">
        <v>7.5</v>
      </c>
      <c r="E48" s="127">
        <v>20</v>
      </c>
      <c r="F48" s="102">
        <f>((C48/1000)*$I$51)+((D48/1000)*$D$47)+((E48/1000)*$I$53)</f>
        <v>4.4350000000000005</v>
      </c>
      <c r="G48" s="96" t="str">
        <f>I54</f>
        <v>US$</v>
      </c>
      <c r="H48" s="97">
        <v>116</v>
      </c>
      <c r="I48" s="22">
        <f t="shared" si="0"/>
        <v>121.5625</v>
      </c>
      <c r="J48" s="44">
        <v>5000</v>
      </c>
      <c r="K48" s="45">
        <v>1250</v>
      </c>
    </row>
    <row r="49" spans="1:11" ht="12.75">
      <c r="A49" s="72" t="s">
        <v>133</v>
      </c>
      <c r="B49" s="16">
        <v>275</v>
      </c>
      <c r="C49" s="94">
        <v>168</v>
      </c>
      <c r="D49" s="94">
        <v>50</v>
      </c>
      <c r="E49" s="94">
        <v>0</v>
      </c>
      <c r="F49" s="102">
        <f>((C49/1000)*$I$51)+((D49/1000)*$D$47)+((E49/1000)*$I$53)</f>
        <v>4.5280000000000005</v>
      </c>
      <c r="G49" s="96" t="str">
        <f>I54</f>
        <v>US$</v>
      </c>
      <c r="H49" s="97">
        <v>622</v>
      </c>
      <c r="I49" s="22">
        <f t="shared" si="0"/>
        <v>659.35</v>
      </c>
      <c r="J49" s="44">
        <v>5000</v>
      </c>
      <c r="K49" s="45">
        <v>1250</v>
      </c>
    </row>
    <row r="50" spans="1:11" ht="13.5" thickBot="1">
      <c r="A50" s="73" t="s">
        <v>135</v>
      </c>
      <c r="B50" s="17">
        <v>275</v>
      </c>
      <c r="C50" s="100">
        <v>137</v>
      </c>
      <c r="D50" s="100">
        <v>42</v>
      </c>
      <c r="E50" s="128">
        <v>55</v>
      </c>
      <c r="F50" s="103">
        <f>((C50/1000)*$I$51)+((D50/1000)*$D$47)+((E50/1000)*$I$53)</f>
        <v>14.057</v>
      </c>
      <c r="G50" s="104" t="str">
        <f>I54</f>
        <v>US$</v>
      </c>
      <c r="H50" s="101">
        <v>638</v>
      </c>
      <c r="I50" s="22">
        <f t="shared" si="0"/>
        <v>668.55</v>
      </c>
      <c r="J50" s="46">
        <v>5000</v>
      </c>
      <c r="K50" s="47">
        <v>1250</v>
      </c>
    </row>
    <row r="51" spans="5:11" ht="13.5" thickTop="1">
      <c r="E51" s="39"/>
      <c r="F51" s="18"/>
      <c r="G51" s="18"/>
      <c r="H51" s="18" t="s">
        <v>14</v>
      </c>
      <c r="I51" s="105">
        <v>21</v>
      </c>
      <c r="J51" s="70" t="str">
        <f>J53</f>
        <v>US$</v>
      </c>
      <c r="K51" s="5"/>
    </row>
    <row r="52" spans="5:10" ht="12.75">
      <c r="E52" s="26"/>
      <c r="F52" s="18"/>
      <c r="G52" s="18"/>
      <c r="H52" s="18" t="s">
        <v>15</v>
      </c>
      <c r="I52" s="106">
        <v>22.5</v>
      </c>
      <c r="J52" s="71" t="str">
        <f>J53</f>
        <v>US$</v>
      </c>
    </row>
    <row r="53" spans="5:10" ht="13.5" thickBot="1">
      <c r="E53" s="20"/>
      <c r="F53" s="21"/>
      <c r="G53" s="21"/>
      <c r="H53" s="21" t="s">
        <v>55</v>
      </c>
      <c r="I53" s="107">
        <v>188</v>
      </c>
      <c r="J53" s="71" t="str">
        <f>I54</f>
        <v>US$</v>
      </c>
    </row>
    <row r="54" spans="5:10" ht="14.25" thickBot="1" thickTop="1">
      <c r="E54" s="28"/>
      <c r="F54" s="27"/>
      <c r="G54" s="27"/>
      <c r="H54" s="27"/>
      <c r="I54" s="86" t="s">
        <v>20</v>
      </c>
      <c r="J54" s="74" t="s">
        <v>106</v>
      </c>
    </row>
    <row r="55" spans="5:11" ht="13.5" thickTop="1">
      <c r="E55" s="9"/>
      <c r="F55" s="9"/>
      <c r="G55" s="9"/>
      <c r="H55" s="9"/>
      <c r="I55" s="19"/>
      <c r="J55" s="19"/>
      <c r="K55" s="19"/>
    </row>
    <row r="56" spans="1:11" ht="12.75">
      <c r="A56" s="69" t="s">
        <v>71</v>
      </c>
      <c r="B56" s="29"/>
      <c r="C56" s="29"/>
      <c r="D56" s="29"/>
      <c r="E56" s="29"/>
      <c r="F56" s="29"/>
      <c r="G56" s="29"/>
      <c r="H56" s="29"/>
      <c r="I56" s="29"/>
      <c r="J56" s="143"/>
      <c r="K56" s="19"/>
    </row>
    <row r="57" spans="1:11" ht="12.75">
      <c r="A57" s="33" t="s">
        <v>17</v>
      </c>
      <c r="B57" s="63"/>
      <c r="C57" s="63"/>
      <c r="D57" s="63"/>
      <c r="E57" s="33" t="s">
        <v>26</v>
      </c>
      <c r="F57" s="33"/>
      <c r="G57" s="33"/>
      <c r="H57" s="33" t="s">
        <v>139</v>
      </c>
      <c r="I57" s="64"/>
      <c r="J57" s="165" t="s">
        <v>145</v>
      </c>
      <c r="K57" s="5"/>
    </row>
    <row r="58" spans="1:11" ht="12.75">
      <c r="A58" s="65" t="s">
        <v>10</v>
      </c>
      <c r="B58" s="66" t="s">
        <v>18</v>
      </c>
      <c r="C58" s="67"/>
      <c r="D58" s="67"/>
      <c r="E58" s="34" t="s">
        <v>27</v>
      </c>
      <c r="F58" s="34">
        <v>10</v>
      </c>
      <c r="G58" s="63" t="s">
        <v>28</v>
      </c>
      <c r="H58" s="36" t="s">
        <v>112</v>
      </c>
      <c r="I58" s="29"/>
      <c r="J58" s="143" t="s">
        <v>113</v>
      </c>
      <c r="K58" s="5"/>
    </row>
    <row r="59" spans="1:11" ht="12.75">
      <c r="A59" s="34">
        <v>0</v>
      </c>
      <c r="B59" s="68">
        <v>5</v>
      </c>
      <c r="C59" s="68"/>
      <c r="D59" s="68"/>
      <c r="E59" s="34" t="s">
        <v>29</v>
      </c>
      <c r="F59" s="34">
        <v>5</v>
      </c>
      <c r="G59" s="63" t="s">
        <v>28</v>
      </c>
      <c r="H59" s="36" t="s">
        <v>108</v>
      </c>
      <c r="I59" s="29"/>
      <c r="J59" s="143" t="s">
        <v>111</v>
      </c>
      <c r="K59" s="5"/>
    </row>
    <row r="60" spans="1:11" ht="12.75">
      <c r="A60" s="34">
        <v>5</v>
      </c>
      <c r="B60" s="68">
        <v>7</v>
      </c>
      <c r="C60" s="68"/>
      <c r="D60" s="68"/>
      <c r="E60" s="34" t="s">
        <v>29</v>
      </c>
      <c r="F60" s="34">
        <v>1</v>
      </c>
      <c r="G60" s="63" t="s">
        <v>28</v>
      </c>
      <c r="H60" s="36" t="s">
        <v>109</v>
      </c>
      <c r="I60" s="63"/>
      <c r="J60" s="143" t="s">
        <v>110</v>
      </c>
      <c r="K60" s="5"/>
    </row>
    <row r="61" spans="1:11" ht="12.75">
      <c r="A61" s="34">
        <v>10</v>
      </c>
      <c r="B61" s="68">
        <v>9</v>
      </c>
      <c r="C61" s="68"/>
      <c r="D61" s="68"/>
      <c r="E61" s="34"/>
      <c r="F61" s="36"/>
      <c r="G61" s="36"/>
      <c r="H61" s="36"/>
      <c r="I61" s="63"/>
      <c r="J61" s="143"/>
      <c r="K61" s="5"/>
    </row>
    <row r="62" spans="1:11" ht="12.75">
      <c r="A62" s="34">
        <v>15</v>
      </c>
      <c r="B62" s="68">
        <v>13</v>
      </c>
      <c r="C62" s="68"/>
      <c r="D62" s="68"/>
      <c r="E62" s="36"/>
      <c r="F62" s="36"/>
      <c r="G62" s="36"/>
      <c r="H62" s="36"/>
      <c r="I62" s="63"/>
      <c r="J62" s="143"/>
      <c r="K62" s="5"/>
    </row>
    <row r="63" spans="1:10" ht="12.75">
      <c r="A63" s="34">
        <v>20</v>
      </c>
      <c r="B63" s="68">
        <v>17</v>
      </c>
      <c r="C63" s="68"/>
      <c r="D63" s="68"/>
      <c r="E63" s="36"/>
      <c r="F63" s="36"/>
      <c r="G63" s="36"/>
      <c r="H63" s="36"/>
      <c r="I63" s="63"/>
      <c r="J63" s="143"/>
    </row>
    <row r="64" spans="1:10" ht="12.75">
      <c r="A64" s="34">
        <v>25</v>
      </c>
      <c r="B64" s="68">
        <v>23</v>
      </c>
      <c r="C64" s="68"/>
      <c r="D64" s="68"/>
      <c r="E64" s="36"/>
      <c r="F64" s="36"/>
      <c r="G64" s="36"/>
      <c r="H64" s="36"/>
      <c r="I64" s="63"/>
      <c r="J64" s="29"/>
    </row>
    <row r="65" spans="1:10" ht="12.75">
      <c r="A65" s="34">
        <v>30</v>
      </c>
      <c r="B65" s="68">
        <v>30</v>
      </c>
      <c r="C65" s="68"/>
      <c r="D65" s="68"/>
      <c r="E65" s="67"/>
      <c r="F65" s="67"/>
      <c r="G65" s="67"/>
      <c r="H65" s="67"/>
      <c r="I65" s="67"/>
      <c r="J65" s="29"/>
    </row>
    <row r="66" spans="1:10" ht="12.75">
      <c r="A66" s="34">
        <v>35</v>
      </c>
      <c r="B66" s="68">
        <v>40</v>
      </c>
      <c r="C66" s="68"/>
      <c r="D66" s="68"/>
      <c r="E66" s="67"/>
      <c r="F66" s="67"/>
      <c r="G66" s="67"/>
      <c r="H66" s="67"/>
      <c r="I66" s="67"/>
      <c r="J66" s="29"/>
    </row>
    <row r="67" spans="1:10" ht="12.75">
      <c r="A67" s="34">
        <v>40</v>
      </c>
      <c r="B67" s="68">
        <v>51</v>
      </c>
      <c r="C67" s="68"/>
      <c r="D67" s="68"/>
      <c r="E67" s="67"/>
      <c r="F67" s="67"/>
      <c r="G67" s="67"/>
      <c r="H67" s="67"/>
      <c r="I67" s="67"/>
      <c r="J67" s="29"/>
    </row>
    <row r="68" spans="1:10" ht="12.75">
      <c r="A68" s="34">
        <v>45</v>
      </c>
      <c r="B68" s="68">
        <v>65</v>
      </c>
      <c r="C68" s="68"/>
      <c r="D68" s="68"/>
      <c r="E68" s="67"/>
      <c r="F68" s="67"/>
      <c r="G68" s="67"/>
      <c r="H68" s="67"/>
      <c r="I68" s="67"/>
      <c r="J68" s="29"/>
    </row>
    <row r="69" spans="1:10" ht="12.75">
      <c r="A69" s="34">
        <v>50</v>
      </c>
      <c r="B69" s="68">
        <v>83</v>
      </c>
      <c r="C69" s="68"/>
      <c r="D69" s="68"/>
      <c r="E69" s="67"/>
      <c r="F69" s="67"/>
      <c r="G69" s="67"/>
      <c r="H69" s="67"/>
      <c r="I69" s="67"/>
      <c r="J69" s="29"/>
    </row>
  </sheetData>
  <sheetProtection password="CB35" sheet="1"/>
  <conditionalFormatting sqref="I10 I14">
    <cfRule type="cellIs" priority="1" dxfId="0" operator="lessThan" stopIfTrue="1">
      <formula>0</formula>
    </cfRule>
  </conditionalFormatting>
  <conditionalFormatting sqref="I11:I13">
    <cfRule type="cellIs" priority="2" dxfId="0" operator="greaterThan" stopIfTrue="1">
      <formula>100</formula>
    </cfRule>
  </conditionalFormatting>
  <hyperlinks>
    <hyperlink ref="B1" r:id="rId1" display="http://www.scubaengineer.com/"/>
  </hyperlinks>
  <printOptions/>
  <pageMargins left="0.75" right="0.75" top="1" bottom="1" header="0.5" footer="0.5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Mermaids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B2</dc:creator>
  <cp:keywords/>
  <dc:description/>
  <cp:lastModifiedBy>Stephen Burton</cp:lastModifiedBy>
  <cp:lastPrinted>2009-06-13T05:39:31Z</cp:lastPrinted>
  <dcterms:created xsi:type="dcterms:W3CDTF">2005-11-15T15:03:36Z</dcterms:created>
  <dcterms:modified xsi:type="dcterms:W3CDTF">2012-07-22T15:49:39Z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